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037f00292e3d67/Documents/"/>
    </mc:Choice>
  </mc:AlternateContent>
  <xr:revisionPtr revIDLastSave="0" documentId="8_{0AF594B0-20E2-4123-AA46-0D4CA58B81DD}" xr6:coauthVersionLast="47" xr6:coauthVersionMax="47" xr10:uidLastSave="{00000000-0000-0000-0000-000000000000}"/>
  <bookViews>
    <workbookView xWindow="-90" yWindow="-90" windowWidth="17460" windowHeight="10260" xr2:uid="{00000000-000D-0000-FFFF-FFFF00000000}"/>
  </bookViews>
  <sheets>
    <sheet name="Profit and Loss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3" i="1" l="1"/>
  <c r="L54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M88" i="1" s="1"/>
  <c r="L87" i="1"/>
  <c r="K87" i="1"/>
  <c r="J87" i="1"/>
  <c r="I87" i="1"/>
  <c r="H87" i="1"/>
  <c r="F87" i="1"/>
  <c r="E87" i="1"/>
  <c r="D87" i="1"/>
  <c r="C87" i="1"/>
  <c r="B87" i="1"/>
  <c r="L86" i="1"/>
  <c r="K86" i="1"/>
  <c r="K90" i="1" s="1"/>
  <c r="J86" i="1"/>
  <c r="I86" i="1"/>
  <c r="H86" i="1"/>
  <c r="G86" i="1"/>
  <c r="G90" i="1" s="1"/>
  <c r="F86" i="1"/>
  <c r="E86" i="1"/>
  <c r="D86" i="1"/>
  <c r="C86" i="1"/>
  <c r="C90" i="1" s="1"/>
  <c r="B86" i="1"/>
  <c r="M85" i="1"/>
  <c r="G84" i="1"/>
  <c r="M84" i="1" s="1"/>
  <c r="F83" i="1"/>
  <c r="E83" i="1"/>
  <c r="D83" i="1"/>
  <c r="C83" i="1"/>
  <c r="B83" i="1"/>
  <c r="M83" i="1" s="1"/>
  <c r="K82" i="1"/>
  <c r="I82" i="1"/>
  <c r="H82" i="1"/>
  <c r="G82" i="1"/>
  <c r="M82" i="1" s="1"/>
  <c r="L81" i="1"/>
  <c r="K81" i="1"/>
  <c r="I81" i="1"/>
  <c r="H81" i="1"/>
  <c r="G81" i="1"/>
  <c r="F81" i="1"/>
  <c r="E81" i="1"/>
  <c r="D81" i="1"/>
  <c r="C81" i="1"/>
  <c r="B81" i="1"/>
  <c r="J80" i="1"/>
  <c r="J81" i="1" s="1"/>
  <c r="M79" i="1"/>
  <c r="L78" i="1"/>
  <c r="K78" i="1"/>
  <c r="J78" i="1"/>
  <c r="I78" i="1"/>
  <c r="H78" i="1"/>
  <c r="G78" i="1"/>
  <c r="F78" i="1"/>
  <c r="E78" i="1"/>
  <c r="D78" i="1"/>
  <c r="C78" i="1"/>
  <c r="B78" i="1"/>
  <c r="G76" i="1"/>
  <c r="M76" i="1" s="1"/>
  <c r="K75" i="1"/>
  <c r="M75" i="1" s="1"/>
  <c r="G74" i="1"/>
  <c r="M74" i="1" s="1"/>
  <c r="L73" i="1"/>
  <c r="J73" i="1"/>
  <c r="I73" i="1"/>
  <c r="H73" i="1"/>
  <c r="G73" i="1"/>
  <c r="E73" i="1"/>
  <c r="D73" i="1"/>
  <c r="K72" i="1"/>
  <c r="I72" i="1"/>
  <c r="H72" i="1"/>
  <c r="C72" i="1"/>
  <c r="M72" i="1" s="1"/>
  <c r="L71" i="1"/>
  <c r="J71" i="1"/>
  <c r="H71" i="1"/>
  <c r="F71" i="1"/>
  <c r="D71" i="1"/>
  <c r="B71" i="1"/>
  <c r="K70" i="1"/>
  <c r="M70" i="1" s="1"/>
  <c r="L69" i="1"/>
  <c r="K69" i="1"/>
  <c r="H69" i="1"/>
  <c r="G69" i="1"/>
  <c r="F69" i="1"/>
  <c r="E69" i="1"/>
  <c r="C69" i="1"/>
  <c r="B69" i="1"/>
  <c r="M69" i="1" s="1"/>
  <c r="L68" i="1"/>
  <c r="K68" i="1"/>
  <c r="J68" i="1"/>
  <c r="I68" i="1"/>
  <c r="H68" i="1"/>
  <c r="G68" i="1"/>
  <c r="F68" i="1"/>
  <c r="E68" i="1"/>
  <c r="C68" i="1"/>
  <c r="B68" i="1"/>
  <c r="L67" i="1"/>
  <c r="K67" i="1"/>
  <c r="J67" i="1"/>
  <c r="I67" i="1"/>
  <c r="H67" i="1"/>
  <c r="G67" i="1"/>
  <c r="F67" i="1"/>
  <c r="E67" i="1"/>
  <c r="D67" i="1"/>
  <c r="B67" i="1"/>
  <c r="M67" i="1" s="1"/>
  <c r="K66" i="1"/>
  <c r="G66" i="1"/>
  <c r="B66" i="1"/>
  <c r="M66" i="1" s="1"/>
  <c r="K65" i="1"/>
  <c r="J65" i="1"/>
  <c r="I65" i="1"/>
  <c r="H65" i="1"/>
  <c r="G65" i="1"/>
  <c r="F65" i="1"/>
  <c r="E65" i="1"/>
  <c r="D65" i="1"/>
  <c r="B65" i="1"/>
  <c r="H64" i="1"/>
  <c r="G64" i="1"/>
  <c r="F64" i="1"/>
  <c r="E64" i="1"/>
  <c r="D64" i="1"/>
  <c r="L63" i="1"/>
  <c r="G63" i="1"/>
  <c r="C63" i="1"/>
  <c r="B63" i="1"/>
  <c r="G62" i="1"/>
  <c r="E62" i="1"/>
  <c r="C62" i="1"/>
  <c r="M62" i="1" s="1"/>
  <c r="E61" i="1"/>
  <c r="M61" i="1" s="1"/>
  <c r="G59" i="1"/>
  <c r="D59" i="1"/>
  <c r="M59" i="1" s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E60" i="1" s="1"/>
  <c r="D57" i="1"/>
  <c r="C57" i="1"/>
  <c r="B57" i="1"/>
  <c r="L56" i="1"/>
  <c r="K56" i="1"/>
  <c r="J56" i="1"/>
  <c r="J60" i="1" s="1"/>
  <c r="G55" i="1"/>
  <c r="D55" i="1"/>
  <c r="C55" i="1"/>
  <c r="B55" i="1"/>
  <c r="B60" i="1" s="1"/>
  <c r="K54" i="1"/>
  <c r="J54" i="1"/>
  <c r="H54" i="1"/>
  <c r="G54" i="1"/>
  <c r="F54" i="1"/>
  <c r="E54" i="1"/>
  <c r="D54" i="1"/>
  <c r="B54" i="1"/>
  <c r="K52" i="1"/>
  <c r="H52" i="1"/>
  <c r="H53" i="1" s="1"/>
  <c r="G52" i="1"/>
  <c r="D52" i="1"/>
  <c r="B52" i="1"/>
  <c r="B53" i="1" s="1"/>
  <c r="J51" i="1"/>
  <c r="C51" i="1"/>
  <c r="M51" i="1" s="1"/>
  <c r="L50" i="1"/>
  <c r="L53" i="1" s="1"/>
  <c r="K50" i="1"/>
  <c r="K53" i="1" s="1"/>
  <c r="J50" i="1"/>
  <c r="I50" i="1"/>
  <c r="I53" i="1" s="1"/>
  <c r="G50" i="1"/>
  <c r="F50" i="1"/>
  <c r="F53" i="1" s="1"/>
  <c r="E50" i="1"/>
  <c r="E53" i="1" s="1"/>
  <c r="D50" i="1"/>
  <c r="D53" i="1" s="1"/>
  <c r="J49" i="1"/>
  <c r="I49" i="1"/>
  <c r="E49" i="1"/>
  <c r="M49" i="1" s="1"/>
  <c r="L48" i="1"/>
  <c r="K48" i="1"/>
  <c r="J48" i="1"/>
  <c r="I48" i="1"/>
  <c r="H48" i="1"/>
  <c r="G48" i="1"/>
  <c r="F48" i="1"/>
  <c r="E48" i="1"/>
  <c r="D48" i="1"/>
  <c r="B48" i="1"/>
  <c r="K47" i="1"/>
  <c r="J47" i="1"/>
  <c r="I47" i="1"/>
  <c r="H47" i="1"/>
  <c r="G47" i="1"/>
  <c r="F47" i="1"/>
  <c r="E47" i="1"/>
  <c r="D47" i="1"/>
  <c r="C47" i="1"/>
  <c r="B47" i="1"/>
  <c r="M47" i="1" s="1"/>
  <c r="J45" i="1"/>
  <c r="G45" i="1"/>
  <c r="D45" i="1"/>
  <c r="M45" i="1" s="1"/>
  <c r="L44" i="1"/>
  <c r="K44" i="1"/>
  <c r="J44" i="1"/>
  <c r="H44" i="1"/>
  <c r="G44" i="1"/>
  <c r="F44" i="1"/>
  <c r="E44" i="1"/>
  <c r="D44" i="1"/>
  <c r="C44" i="1"/>
  <c r="B44" i="1"/>
  <c r="J43" i="1"/>
  <c r="H43" i="1"/>
  <c r="G43" i="1"/>
  <c r="E43" i="1"/>
  <c r="D43" i="1"/>
  <c r="C43" i="1"/>
  <c r="B43" i="1"/>
  <c r="D42" i="1"/>
  <c r="M42" i="1" s="1"/>
  <c r="J41" i="1"/>
  <c r="I41" i="1"/>
  <c r="G41" i="1"/>
  <c r="E41" i="1"/>
  <c r="D41" i="1"/>
  <c r="C41" i="1"/>
  <c r="B41" i="1"/>
  <c r="L40" i="1"/>
  <c r="L46" i="1" s="1"/>
  <c r="K40" i="1"/>
  <c r="J40" i="1"/>
  <c r="I40" i="1"/>
  <c r="I46" i="1" s="1"/>
  <c r="H40" i="1"/>
  <c r="G40" i="1"/>
  <c r="F40" i="1"/>
  <c r="E40" i="1"/>
  <c r="D40" i="1"/>
  <c r="C40" i="1"/>
  <c r="C46" i="1" s="1"/>
  <c r="B40" i="1"/>
  <c r="M39" i="1"/>
  <c r="B38" i="1"/>
  <c r="M38" i="1" s="1"/>
  <c r="B37" i="1"/>
  <c r="M37" i="1" s="1"/>
  <c r="J36" i="1"/>
  <c r="H36" i="1"/>
  <c r="G35" i="1"/>
  <c r="G36" i="1" s="1"/>
  <c r="F35" i="1"/>
  <c r="E35" i="1"/>
  <c r="E36" i="1" s="1"/>
  <c r="D35" i="1"/>
  <c r="D36" i="1" s="1"/>
  <c r="C35" i="1"/>
  <c r="B35" i="1"/>
  <c r="B36" i="1" s="1"/>
  <c r="L34" i="1"/>
  <c r="L36" i="1" s="1"/>
  <c r="K34" i="1"/>
  <c r="K36" i="1" s="1"/>
  <c r="I34" i="1"/>
  <c r="I36" i="1" s="1"/>
  <c r="F34" i="1"/>
  <c r="F36" i="1" s="1"/>
  <c r="C34" i="1"/>
  <c r="M33" i="1"/>
  <c r="I32" i="1"/>
  <c r="M32" i="1" s="1"/>
  <c r="K31" i="1"/>
  <c r="J31" i="1"/>
  <c r="I31" i="1"/>
  <c r="G31" i="1"/>
  <c r="F31" i="1"/>
  <c r="D31" i="1"/>
  <c r="C31" i="1"/>
  <c r="B27" i="1"/>
  <c r="B28" i="1" s="1"/>
  <c r="L26" i="1"/>
  <c r="K26" i="1"/>
  <c r="J26" i="1"/>
  <c r="I26" i="1"/>
  <c r="H26" i="1"/>
  <c r="H27" i="1" s="1"/>
  <c r="H28" i="1" s="1"/>
  <c r="G26" i="1"/>
  <c r="F26" i="1"/>
  <c r="E26" i="1"/>
  <c r="D26" i="1"/>
  <c r="L25" i="1"/>
  <c r="K25" i="1"/>
  <c r="K27" i="1" s="1"/>
  <c r="K28" i="1" s="1"/>
  <c r="J25" i="1"/>
  <c r="I25" i="1"/>
  <c r="F25" i="1"/>
  <c r="D25" i="1"/>
  <c r="D27" i="1" s="1"/>
  <c r="D28" i="1" s="1"/>
  <c r="C25" i="1"/>
  <c r="M25" i="1" s="1"/>
  <c r="J24" i="1"/>
  <c r="I24" i="1"/>
  <c r="G24" i="1"/>
  <c r="G27" i="1" s="1"/>
  <c r="G28" i="1" s="1"/>
  <c r="F24" i="1"/>
  <c r="F27" i="1" s="1"/>
  <c r="F28" i="1" s="1"/>
  <c r="E24" i="1"/>
  <c r="C24" i="1"/>
  <c r="M23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7" i="1"/>
  <c r="K17" i="1"/>
  <c r="J17" i="1"/>
  <c r="I17" i="1"/>
  <c r="H17" i="1"/>
  <c r="G17" i="1"/>
  <c r="F17" i="1"/>
  <c r="E17" i="1"/>
  <c r="D17" i="1"/>
  <c r="C17" i="1"/>
  <c r="M17" i="1" s="1"/>
  <c r="D16" i="1"/>
  <c r="C16" i="1"/>
  <c r="B16" i="1"/>
  <c r="M16" i="1" s="1"/>
  <c r="E15" i="1"/>
  <c r="D15" i="1"/>
  <c r="M15" i="1" s="1"/>
  <c r="L14" i="1"/>
  <c r="K14" i="1"/>
  <c r="J14" i="1"/>
  <c r="I14" i="1"/>
  <c r="H14" i="1"/>
  <c r="G14" i="1"/>
  <c r="F14" i="1"/>
  <c r="E14" i="1"/>
  <c r="D14" i="1"/>
  <c r="C14" i="1"/>
  <c r="B14" i="1"/>
  <c r="B13" i="1"/>
  <c r="M13" i="1" s="1"/>
  <c r="L12" i="1"/>
  <c r="K12" i="1"/>
  <c r="J12" i="1"/>
  <c r="I12" i="1"/>
  <c r="H12" i="1"/>
  <c r="G12" i="1"/>
  <c r="F12" i="1"/>
  <c r="E12" i="1"/>
  <c r="D12" i="1"/>
  <c r="M12" i="1" s="1"/>
  <c r="C11" i="1"/>
  <c r="M11" i="1" s="1"/>
  <c r="F10" i="1"/>
  <c r="M10" i="1" s="1"/>
  <c r="B9" i="1"/>
  <c r="M9" i="1" s="1"/>
  <c r="K8" i="1"/>
  <c r="J8" i="1"/>
  <c r="I8" i="1"/>
  <c r="H8" i="1"/>
  <c r="G8" i="1"/>
  <c r="F8" i="1"/>
  <c r="E8" i="1"/>
  <c r="D8" i="1"/>
  <c r="C8" i="1"/>
  <c r="C18" i="1" s="1"/>
  <c r="C21" i="1" s="1"/>
  <c r="B8" i="1"/>
  <c r="B18" i="1" s="1"/>
  <c r="L7" i="1"/>
  <c r="L18" i="1" s="1"/>
  <c r="L21" i="1" s="1"/>
  <c r="K7" i="1"/>
  <c r="J7" i="1"/>
  <c r="I7" i="1"/>
  <c r="H7" i="1"/>
  <c r="H18" i="1" s="1"/>
  <c r="H21" i="1" s="1"/>
  <c r="H29" i="1" s="1"/>
  <c r="G7" i="1"/>
  <c r="F7" i="1"/>
  <c r="E7" i="1"/>
  <c r="D7" i="1"/>
  <c r="D18" i="1" s="1"/>
  <c r="D21" i="1" s="1"/>
  <c r="D29" i="1" s="1"/>
  <c r="M26" i="1" l="1"/>
  <c r="L27" i="1"/>
  <c r="L28" i="1" s="1"/>
  <c r="L29" i="1" s="1"/>
  <c r="M31" i="1"/>
  <c r="J46" i="1"/>
  <c r="M48" i="1"/>
  <c r="M52" i="1"/>
  <c r="M54" i="1"/>
  <c r="I60" i="1"/>
  <c r="C77" i="1"/>
  <c r="M71" i="1"/>
  <c r="J90" i="1"/>
  <c r="H90" i="1"/>
  <c r="L90" i="1"/>
  <c r="M7" i="1"/>
  <c r="D46" i="1"/>
  <c r="H46" i="1"/>
  <c r="J53" i="1"/>
  <c r="C53" i="1"/>
  <c r="C60" i="1"/>
  <c r="K60" i="1"/>
  <c r="H60" i="1"/>
  <c r="E77" i="1"/>
  <c r="M65" i="1"/>
  <c r="M78" i="1"/>
  <c r="M89" i="1"/>
  <c r="G77" i="1"/>
  <c r="I18" i="1"/>
  <c r="I21" i="1" s="1"/>
  <c r="F18" i="1"/>
  <c r="F21" i="1" s="1"/>
  <c r="F29" i="1" s="1"/>
  <c r="J18" i="1"/>
  <c r="J21" i="1" s="1"/>
  <c r="M14" i="1"/>
  <c r="M20" i="1"/>
  <c r="C27" i="1"/>
  <c r="I27" i="1"/>
  <c r="I28" i="1" s="1"/>
  <c r="E46" i="1"/>
  <c r="M41" i="1"/>
  <c r="M44" i="1"/>
  <c r="F46" i="1"/>
  <c r="K46" i="1"/>
  <c r="D60" i="1"/>
  <c r="L60" i="1"/>
  <c r="M58" i="1"/>
  <c r="L77" i="1"/>
  <c r="I77" i="1"/>
  <c r="M68" i="1"/>
  <c r="M81" i="1"/>
  <c r="E90" i="1"/>
  <c r="I90" i="1"/>
  <c r="M87" i="1"/>
  <c r="F90" i="1"/>
  <c r="K77" i="1"/>
  <c r="G18" i="1"/>
  <c r="G21" i="1" s="1"/>
  <c r="G29" i="1" s="1"/>
  <c r="K18" i="1"/>
  <c r="K21" i="1" s="1"/>
  <c r="K29" i="1" s="1"/>
  <c r="M19" i="1"/>
  <c r="J27" i="1"/>
  <c r="J28" i="1" s="1"/>
  <c r="C36" i="1"/>
  <c r="C91" i="1" s="1"/>
  <c r="M40" i="1"/>
  <c r="B46" i="1"/>
  <c r="G46" i="1"/>
  <c r="G53" i="1"/>
  <c r="M53" i="1" s="1"/>
  <c r="G60" i="1"/>
  <c r="M57" i="1"/>
  <c r="F60" i="1"/>
  <c r="B77" i="1"/>
  <c r="D77" i="1"/>
  <c r="H77" i="1"/>
  <c r="F77" i="1"/>
  <c r="J77" i="1"/>
  <c r="M73" i="1"/>
  <c r="I29" i="1"/>
  <c r="B21" i="1"/>
  <c r="C28" i="1"/>
  <c r="E27" i="1"/>
  <c r="E28" i="1" s="1"/>
  <c r="M34" i="1"/>
  <c r="M50" i="1"/>
  <c r="M55" i="1"/>
  <c r="M56" i="1"/>
  <c r="M64" i="1"/>
  <c r="M80" i="1"/>
  <c r="B90" i="1"/>
  <c r="M35" i="1"/>
  <c r="M8" i="1"/>
  <c r="E18" i="1"/>
  <c r="E21" i="1" s="1"/>
  <c r="M24" i="1"/>
  <c r="M43" i="1"/>
  <c r="M63" i="1"/>
  <c r="M86" i="1"/>
  <c r="D90" i="1"/>
  <c r="M77" i="1" l="1"/>
  <c r="G91" i="1"/>
  <c r="B91" i="1"/>
  <c r="L91" i="1"/>
  <c r="L92" i="1" s="1"/>
  <c r="L93" i="1" s="1"/>
  <c r="K91" i="1"/>
  <c r="F91" i="1"/>
  <c r="M46" i="1"/>
  <c r="E91" i="1"/>
  <c r="H91" i="1"/>
  <c r="H92" i="1" s="1"/>
  <c r="H93" i="1" s="1"/>
  <c r="D91" i="1"/>
  <c r="D92" i="1" s="1"/>
  <c r="D93" i="1" s="1"/>
  <c r="I91" i="1"/>
  <c r="J91" i="1"/>
  <c r="M28" i="1"/>
  <c r="M60" i="1"/>
  <c r="M36" i="1"/>
  <c r="K92" i="1"/>
  <c r="K93" i="1" s="1"/>
  <c r="J29" i="1"/>
  <c r="J92" i="1" s="1"/>
  <c r="J93" i="1" s="1"/>
  <c r="E29" i="1"/>
  <c r="E92" i="1" s="1"/>
  <c r="E93" i="1" s="1"/>
  <c r="G92" i="1"/>
  <c r="G93" i="1" s="1"/>
  <c r="F92" i="1"/>
  <c r="F93" i="1" s="1"/>
  <c r="M27" i="1"/>
  <c r="C29" i="1"/>
  <c r="C92" i="1" s="1"/>
  <c r="C93" i="1" s="1"/>
  <c r="M18" i="1"/>
  <c r="M90" i="1"/>
  <c r="I92" i="1"/>
  <c r="I93" i="1" s="1"/>
  <c r="M21" i="1"/>
  <c r="B29" i="1"/>
  <c r="M91" i="1" l="1"/>
  <c r="M29" i="1"/>
  <c r="B92" i="1"/>
  <c r="M92" i="1" l="1"/>
  <c r="B93" i="1"/>
</calcChain>
</file>

<file path=xl/sharedStrings.xml><?xml version="1.0" encoding="utf-8"?>
<sst xmlns="http://schemas.openxmlformats.org/spreadsheetml/2006/main" count="109" uniqueCount="104">
  <si>
    <t>Crescent Heights Apartments</t>
  </si>
  <si>
    <t>Profit and Loss</t>
  </si>
  <si>
    <t>January - November, 2023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</si>
  <si>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</si>
  <si>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</si>
  <si>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</si>
  <si>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</si>
  <si>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</si>
  <si>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</si>
  <si>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</si>
  <si>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</si>
  <si>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</si>
  <si>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</si>
  <si>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</si>
  <si>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Total</t>
  </si>
  <si>
    <t>Income</t>
  </si>
  <si>
    <t xml:space="preserve">   Other Income</t>
  </si>
  <si>
    <t xml:space="preserve">      Application Fee Income</t>
  </si>
  <si>
    <t xml:space="preserve">      Cleaning and Maintenance</t>
  </si>
  <si>
    <t xml:space="preserve">      Forfeit Income</t>
  </si>
  <si>
    <t xml:space="preserve">      Insurance Income</t>
  </si>
  <si>
    <t xml:space="preserve">      Late Fee Income</t>
  </si>
  <si>
    <t xml:space="preserve">      Laundry Income</t>
  </si>
  <si>
    <t xml:space="preserve">      Pet Fee Income</t>
  </si>
  <si>
    <t xml:space="preserve">      Reimbursement Income</t>
  </si>
  <si>
    <t xml:space="preserve">      Repair Income</t>
  </si>
  <si>
    <t xml:space="preserve">      Utility Income</t>
  </si>
  <si>
    <t xml:space="preserve">   Total Other Income</t>
  </si>
  <si>
    <t xml:space="preserve">   Rental Income</t>
  </si>
  <si>
    <t xml:space="preserve">   Unapplied Cash Payment Income</t>
  </si>
  <si>
    <t>Total Income</t>
  </si>
  <si>
    <t>Cost of Goods Sold</t>
  </si>
  <si>
    <t xml:space="preserve">   Cost of Goods Sold</t>
  </si>
  <si>
    <t xml:space="preserve">      COGS - Electricity</t>
  </si>
  <si>
    <t xml:space="preserve">      COGS - Gas</t>
  </si>
  <si>
    <t xml:space="preserve">      COGS - Water &amp; Sewer</t>
  </si>
  <si>
    <t xml:space="preserve">   Total Cost of Goods Sold</t>
  </si>
  <si>
    <t>Total Cost of Goods Sold</t>
  </si>
  <si>
    <t>Gross Profit</t>
  </si>
  <si>
    <t>Expenses</t>
  </si>
  <si>
    <t xml:space="preserve">   Advertising &amp; Marketing</t>
  </si>
  <si>
    <t xml:space="preserve">   Bad Debt Expense</t>
  </si>
  <si>
    <t xml:space="preserve">   Contractors</t>
  </si>
  <si>
    <t xml:space="preserve">      Electrical Works</t>
  </si>
  <si>
    <t xml:space="preserve">      Security Patrols</t>
  </si>
  <si>
    <t xml:space="preserve">   Total Contractors</t>
  </si>
  <si>
    <t xml:space="preserve">   Dump Fee</t>
  </si>
  <si>
    <t xml:space="preserve">   Eviction Fee</t>
  </si>
  <si>
    <t xml:space="preserve">   General &amp; Admission Category</t>
  </si>
  <si>
    <t xml:space="preserve">      Bank Charges &amp; Fees</t>
  </si>
  <si>
    <t xml:space="preserve">      Bookkeeping</t>
  </si>
  <si>
    <t xml:space="preserve">      Gift</t>
  </si>
  <si>
    <t xml:space="preserve">      Office Software</t>
  </si>
  <si>
    <t xml:space="preserve">      Office Supplies</t>
  </si>
  <si>
    <t xml:space="preserve">      Yardi Breeze</t>
  </si>
  <si>
    <t xml:space="preserve">   Total General &amp; Admission Category</t>
  </si>
  <si>
    <t xml:space="preserve">   Insurance</t>
  </si>
  <si>
    <t xml:space="preserve">   Lawn Care/Landscaping</t>
  </si>
  <si>
    <t xml:space="preserve">   Leasing Commission Fees</t>
  </si>
  <si>
    <t xml:space="preserve">   Legal &amp; Professional Services</t>
  </si>
  <si>
    <t xml:space="preserve">      Accounting</t>
  </si>
  <si>
    <t xml:space="preserve">      Legal</t>
  </si>
  <si>
    <t xml:space="preserve">   Total Legal &amp; Professional Services</t>
  </si>
  <si>
    <t xml:space="preserve">   Management Fees</t>
  </si>
  <si>
    <t xml:space="preserve">   Payroll Expenses</t>
  </si>
  <si>
    <t xml:space="preserve">      Payroll Fees</t>
  </si>
  <si>
    <t xml:space="preserve">      Payroll Taxes</t>
  </si>
  <si>
    <t xml:space="preserve">      Salaries and wages</t>
  </si>
  <si>
    <t xml:space="preserve">      Worker's Compensation</t>
  </si>
  <si>
    <t xml:space="preserve">   Total Payroll Expenses</t>
  </si>
  <si>
    <t xml:space="preserve">   Property Tax</t>
  </si>
  <si>
    <t xml:space="preserve">   Repairs &amp; Maintenance</t>
  </si>
  <si>
    <t xml:space="preserve">      Appliance Parts</t>
  </si>
  <si>
    <t xml:space="preserve">      Carpet Cleaning</t>
  </si>
  <si>
    <t xml:space="preserve">      Cleaning</t>
  </si>
  <si>
    <t xml:space="preserve">      Electrical</t>
  </si>
  <si>
    <t xml:space="preserve">      Garbage Disposal</t>
  </si>
  <si>
    <t xml:space="preserve">      HVAC Parts</t>
  </si>
  <si>
    <t xml:space="preserve">      Keys &amp; Locks</t>
  </si>
  <si>
    <t xml:space="preserve">      Labour Charge for Repairing</t>
  </si>
  <si>
    <t xml:space="preserve">      Paint &amp; Supplies</t>
  </si>
  <si>
    <t xml:space="preserve">      Pest Control</t>
  </si>
  <si>
    <t xml:space="preserve">      Plumbing</t>
  </si>
  <si>
    <t xml:space="preserve">      Resurfacing</t>
  </si>
  <si>
    <t xml:space="preserve">      Safety/Security</t>
  </si>
  <si>
    <t xml:space="preserve">      Water Extraction</t>
  </si>
  <si>
    <t xml:space="preserve">   Total Repairs &amp; Maintenance</t>
  </si>
  <si>
    <t xml:space="preserve">   Supplies &amp; Materials</t>
  </si>
  <si>
    <t xml:space="preserve">   Taxes &amp; Licenses</t>
  </si>
  <si>
    <t xml:space="preserve">      Licenses</t>
  </si>
  <si>
    <t xml:space="preserve">   Total Taxes &amp; Licenses</t>
  </si>
  <si>
    <t xml:space="preserve">   Training and Education</t>
  </si>
  <si>
    <t xml:space="preserve">   Travel</t>
  </si>
  <si>
    <t xml:space="preserve">   Unapplied Cash Bill Payment Expense</t>
  </si>
  <si>
    <t xml:space="preserve">   Utilities</t>
  </si>
  <si>
    <t xml:space="preserve">      Electric</t>
  </si>
  <si>
    <t xml:space="preserve">      Gas</t>
  </si>
  <si>
    <t xml:space="preserve">      Phone/Internet</t>
  </si>
  <si>
    <t xml:space="preserve">      Water &amp; Sewer</t>
  </si>
  <si>
    <t xml:space="preserve">   Total Utilities</t>
  </si>
  <si>
    <t>Total Expenses</t>
  </si>
  <si>
    <t>Net Operating Income</t>
  </si>
  <si>
    <t>Net Income</t>
  </si>
  <si>
    <t xml:space="preserve"> - Cash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</si>
</sst>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5" fontId="5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"/>
  <sheetViews>
    <sheetView tabSelected="1" workbookViewId="0">
      <selection activeCell="P95" sqref="P95"/>
    </sheetView>
  </sheetViews>
  <sheetFormatPr defaultRowHeight="14.75" x14ac:dyDescent="0.75"/>
  <cols>
    <col min="1" max="1" width="31.86328125" bestFit="1" customWidth="1"/>
    <col min="2" max="12" width="10.40625" bestFit="1" customWidth="1"/>
    <col min="13" max="13" width="11.40625" bestFit="1" customWidth="1"/>
  </cols>
  <sheetData>
    <row r="1" spans="1:13" ht="18" x14ac:dyDescent="0.8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" x14ac:dyDescent="0.8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75">
      <c r="A3" s="10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5" spans="1:13" x14ac:dyDescent="0.75">
      <c r="A5" s="1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</row>
    <row r="6" spans="1:13" x14ac:dyDescent="0.75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75">
      <c r="A7" s="3" t="s">
        <v>16</v>
      </c>
      <c r="B7" s="4"/>
      <c r="C7" s="4"/>
      <c r="D7" s="5">
        <f>24.26</f>
        <v>24.26</v>
      </c>
      <c r="E7" s="5">
        <f>25</f>
        <v>25</v>
      </c>
      <c r="F7" s="5">
        <f>-1282.41</f>
        <v>-1282.4100000000001</v>
      </c>
      <c r="G7" s="5">
        <f>2.34</f>
        <v>2.34</v>
      </c>
      <c r="H7" s="5">
        <f>872.81</f>
        <v>872.81</v>
      </c>
      <c r="I7" s="5">
        <f>3803.53</f>
        <v>3803.53</v>
      </c>
      <c r="J7" s="5">
        <f>176.56</f>
        <v>176.56</v>
      </c>
      <c r="K7" s="5">
        <f>249.91</f>
        <v>249.91</v>
      </c>
      <c r="L7" s="5">
        <f>340</f>
        <v>340</v>
      </c>
      <c r="M7" s="5">
        <f t="shared" ref="M7:M21" si="0">((((((((((B7)+(C7))+(D7))+(E7))+(F7))+(G7))+(H7))+(I7))+(J7))+(K7))+(L7)</f>
        <v>4212</v>
      </c>
    </row>
    <row r="8" spans="1:13" x14ac:dyDescent="0.75">
      <c r="A8" s="3" t="s">
        <v>17</v>
      </c>
      <c r="B8" s="5">
        <f>35</f>
        <v>35</v>
      </c>
      <c r="C8" s="5">
        <f>210</f>
        <v>210</v>
      </c>
      <c r="D8" s="5">
        <f>140</f>
        <v>140</v>
      </c>
      <c r="E8" s="5">
        <f>140</f>
        <v>140</v>
      </c>
      <c r="F8" s="5">
        <f>175</f>
        <v>175</v>
      </c>
      <c r="G8" s="5">
        <f>210</f>
        <v>210</v>
      </c>
      <c r="H8" s="5">
        <f>96.56</f>
        <v>96.56</v>
      </c>
      <c r="I8" s="5">
        <f>81.3</f>
        <v>81.3</v>
      </c>
      <c r="J8" s="5">
        <f>23.71</f>
        <v>23.71</v>
      </c>
      <c r="K8" s="5">
        <f>70</f>
        <v>70</v>
      </c>
      <c r="L8" s="4"/>
      <c r="M8" s="5">
        <f t="shared" si="0"/>
        <v>1181.57</v>
      </c>
    </row>
    <row r="9" spans="1:13" x14ac:dyDescent="0.75">
      <c r="A9" s="3" t="s">
        <v>18</v>
      </c>
      <c r="B9" s="5">
        <f>500</f>
        <v>500</v>
      </c>
      <c r="C9" s="4"/>
      <c r="D9" s="4"/>
      <c r="E9" s="4"/>
      <c r="F9" s="4"/>
      <c r="G9" s="4"/>
      <c r="H9" s="4"/>
      <c r="I9" s="4"/>
      <c r="J9" s="4"/>
      <c r="K9" s="4"/>
      <c r="L9" s="4"/>
      <c r="M9" s="5">
        <f t="shared" si="0"/>
        <v>500</v>
      </c>
    </row>
    <row r="10" spans="1:13" x14ac:dyDescent="0.75">
      <c r="A10" s="3" t="s">
        <v>19</v>
      </c>
      <c r="B10" s="4"/>
      <c r="C10" s="4"/>
      <c r="D10" s="4"/>
      <c r="E10" s="4"/>
      <c r="F10" s="5">
        <f>2270.84</f>
        <v>2270.84</v>
      </c>
      <c r="G10" s="4"/>
      <c r="H10" s="4"/>
      <c r="I10" s="4"/>
      <c r="J10" s="4"/>
      <c r="K10" s="4"/>
      <c r="L10" s="4"/>
      <c r="M10" s="5">
        <f t="shared" si="0"/>
        <v>2270.84</v>
      </c>
    </row>
    <row r="11" spans="1:13" x14ac:dyDescent="0.75">
      <c r="A11" s="3" t="s">
        <v>20</v>
      </c>
      <c r="B11" s="4"/>
      <c r="C11" s="5">
        <f>724</f>
        <v>724</v>
      </c>
      <c r="D11" s="4"/>
      <c r="E11" s="4"/>
      <c r="F11" s="4"/>
      <c r="G11" s="4"/>
      <c r="H11" s="4"/>
      <c r="I11" s="4"/>
      <c r="J11" s="4"/>
      <c r="K11" s="4"/>
      <c r="L11" s="4"/>
      <c r="M11" s="5">
        <f t="shared" si="0"/>
        <v>724</v>
      </c>
    </row>
    <row r="12" spans="1:13" x14ac:dyDescent="0.75">
      <c r="A12" s="3" t="s">
        <v>21</v>
      </c>
      <c r="B12" s="4"/>
      <c r="C12" s="4"/>
      <c r="D12" s="5">
        <f>288.89</f>
        <v>288.89</v>
      </c>
      <c r="E12" s="5">
        <f>443.27</f>
        <v>443.27</v>
      </c>
      <c r="F12" s="5">
        <f>375.74</f>
        <v>375.74</v>
      </c>
      <c r="G12" s="5">
        <f>118.36</f>
        <v>118.36</v>
      </c>
      <c r="H12" s="5">
        <f>235.68</f>
        <v>235.68</v>
      </c>
      <c r="I12" s="5">
        <f>493.47</f>
        <v>493.47</v>
      </c>
      <c r="J12" s="5">
        <f>246.98</f>
        <v>246.98</v>
      </c>
      <c r="K12" s="5">
        <f>228.53</f>
        <v>228.53</v>
      </c>
      <c r="L12" s="5">
        <f>248.67</f>
        <v>248.67</v>
      </c>
      <c r="M12" s="5">
        <f t="shared" si="0"/>
        <v>2679.59</v>
      </c>
    </row>
    <row r="13" spans="1:13" x14ac:dyDescent="0.75">
      <c r="A13" s="3" t="s">
        <v>22</v>
      </c>
      <c r="B13" s="5">
        <f>50</f>
        <v>50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5">
        <f t="shared" si="0"/>
        <v>50</v>
      </c>
    </row>
    <row r="14" spans="1:13" x14ac:dyDescent="0.75">
      <c r="A14" s="3" t="s">
        <v>23</v>
      </c>
      <c r="B14" s="5">
        <f>300.13</f>
        <v>300.13</v>
      </c>
      <c r="C14" s="5">
        <f>205.56</f>
        <v>205.56</v>
      </c>
      <c r="D14" s="5">
        <f>211.51</f>
        <v>211.51</v>
      </c>
      <c r="E14" s="5">
        <f>164.05</f>
        <v>164.05</v>
      </c>
      <c r="F14" s="5">
        <f>124.03</f>
        <v>124.03</v>
      </c>
      <c r="G14" s="5">
        <f>164.55</f>
        <v>164.55</v>
      </c>
      <c r="H14" s="5">
        <f>910.75</f>
        <v>910.75</v>
      </c>
      <c r="I14" s="5">
        <f>363.24</f>
        <v>363.24</v>
      </c>
      <c r="J14" s="5">
        <f>472.95</f>
        <v>472.95</v>
      </c>
      <c r="K14" s="5">
        <f>387.92</f>
        <v>387.92</v>
      </c>
      <c r="L14" s="5">
        <f>945</f>
        <v>945</v>
      </c>
      <c r="M14" s="5">
        <f t="shared" si="0"/>
        <v>4249.6899999999996</v>
      </c>
    </row>
    <row r="15" spans="1:13" x14ac:dyDescent="0.75">
      <c r="A15" s="3" t="s">
        <v>24</v>
      </c>
      <c r="B15" s="4"/>
      <c r="C15" s="4"/>
      <c r="D15" s="5">
        <f>462.92</f>
        <v>462.92</v>
      </c>
      <c r="E15" s="5">
        <f>240.52</f>
        <v>240.52</v>
      </c>
      <c r="F15" s="4"/>
      <c r="G15" s="4"/>
      <c r="H15" s="4"/>
      <c r="I15" s="4"/>
      <c r="J15" s="4"/>
      <c r="K15" s="4"/>
      <c r="L15" s="4"/>
      <c r="M15" s="5">
        <f t="shared" si="0"/>
        <v>703.44</v>
      </c>
    </row>
    <row r="16" spans="1:13" x14ac:dyDescent="0.75">
      <c r="A16" s="3" t="s">
        <v>25</v>
      </c>
      <c r="B16" s="5">
        <f>3175</f>
        <v>3175</v>
      </c>
      <c r="C16" s="5">
        <f>44.95</f>
        <v>44.95</v>
      </c>
      <c r="D16" s="5">
        <f>44.95</f>
        <v>44.95</v>
      </c>
      <c r="E16" s="4"/>
      <c r="F16" s="4"/>
      <c r="G16" s="4"/>
      <c r="H16" s="4"/>
      <c r="I16" s="4"/>
      <c r="J16" s="4"/>
      <c r="K16" s="4"/>
      <c r="L16" s="4"/>
      <c r="M16" s="5">
        <f t="shared" si="0"/>
        <v>3264.8999999999996</v>
      </c>
    </row>
    <row r="17" spans="1:13" x14ac:dyDescent="0.75">
      <c r="A17" s="3" t="s">
        <v>26</v>
      </c>
      <c r="B17" s="4"/>
      <c r="C17" s="5">
        <f>363.41</f>
        <v>363.41</v>
      </c>
      <c r="D17" s="5">
        <f>104.98</f>
        <v>104.98</v>
      </c>
      <c r="E17" s="5">
        <f>857.5</f>
        <v>857.5</v>
      </c>
      <c r="F17" s="5">
        <f>230.16</f>
        <v>230.16</v>
      </c>
      <c r="G17" s="5">
        <f>861.27</f>
        <v>861.27</v>
      </c>
      <c r="H17" s="5">
        <f>-172.59</f>
        <v>-172.59</v>
      </c>
      <c r="I17" s="5">
        <f>1193.08</f>
        <v>1193.08</v>
      </c>
      <c r="J17" s="5">
        <f>329.23</f>
        <v>329.23</v>
      </c>
      <c r="K17" s="5">
        <f>130.67</f>
        <v>130.66999999999999</v>
      </c>
      <c r="L17" s="5">
        <f>40.53</f>
        <v>40.53</v>
      </c>
      <c r="M17" s="5">
        <f t="shared" si="0"/>
        <v>3938.2400000000002</v>
      </c>
    </row>
    <row r="18" spans="1:13" x14ac:dyDescent="0.75">
      <c r="A18" s="3" t="s">
        <v>27</v>
      </c>
      <c r="B18" s="6">
        <f t="shared" ref="B18:L18" si="1">((((((((((B7)+(B8))+(B9))+(B10))+(B11))+(B12))+(B13))+(B14))+(B15))+(B16))+(B17)</f>
        <v>4060.13</v>
      </c>
      <c r="C18" s="6">
        <f t="shared" si="1"/>
        <v>1547.92</v>
      </c>
      <c r="D18" s="6">
        <f t="shared" si="1"/>
        <v>1277.51</v>
      </c>
      <c r="E18" s="6">
        <f t="shared" si="1"/>
        <v>1870.34</v>
      </c>
      <c r="F18" s="6">
        <f t="shared" si="1"/>
        <v>1893.3600000000001</v>
      </c>
      <c r="G18" s="6">
        <f t="shared" si="1"/>
        <v>1356.52</v>
      </c>
      <c r="H18" s="6">
        <f t="shared" si="1"/>
        <v>1943.2100000000003</v>
      </c>
      <c r="I18" s="6">
        <f t="shared" si="1"/>
        <v>5934.62</v>
      </c>
      <c r="J18" s="6">
        <f t="shared" si="1"/>
        <v>1249.43</v>
      </c>
      <c r="K18" s="6">
        <f t="shared" si="1"/>
        <v>1067.03</v>
      </c>
      <c r="L18" s="6">
        <f t="shared" si="1"/>
        <v>1574.2</v>
      </c>
      <c r="M18" s="6">
        <f t="shared" si="0"/>
        <v>23774.27</v>
      </c>
    </row>
    <row r="19" spans="1:13" x14ac:dyDescent="0.75">
      <c r="A19" s="3" t="s">
        <v>28</v>
      </c>
      <c r="B19" s="5">
        <f>35014.74</f>
        <v>35014.74</v>
      </c>
      <c r="C19" s="5">
        <f>18781.99</f>
        <v>18781.990000000002</v>
      </c>
      <c r="D19" s="5">
        <f>22627.13</f>
        <v>22627.13</v>
      </c>
      <c r="E19" s="5">
        <f>25358.65</f>
        <v>25358.65</v>
      </c>
      <c r="F19" s="5">
        <f>23800.12</f>
        <v>23800.12</v>
      </c>
      <c r="G19" s="5">
        <f>26359.39</f>
        <v>26359.39</v>
      </c>
      <c r="H19" s="5">
        <f>27703.49</f>
        <v>27703.49</v>
      </c>
      <c r="I19" s="5">
        <f>36863.45</f>
        <v>36863.449999999997</v>
      </c>
      <c r="J19" s="5">
        <f>29417.33</f>
        <v>29417.33</v>
      </c>
      <c r="K19" s="5">
        <f>28123.23</f>
        <v>28123.23</v>
      </c>
      <c r="L19" s="5">
        <f>30626.84</f>
        <v>30626.84</v>
      </c>
      <c r="M19" s="5">
        <f t="shared" si="0"/>
        <v>304676.36000000004</v>
      </c>
    </row>
    <row r="20" spans="1:13" x14ac:dyDescent="0.75">
      <c r="A20" s="3" t="s">
        <v>29</v>
      </c>
      <c r="B20" s="5">
        <f>1390</f>
        <v>1390</v>
      </c>
      <c r="C20" s="5">
        <f>-640</f>
        <v>-640</v>
      </c>
      <c r="D20" s="5">
        <f>1325</f>
        <v>1325</v>
      </c>
      <c r="E20" s="5">
        <f>-525</f>
        <v>-525</v>
      </c>
      <c r="F20" s="5">
        <f>-1365</f>
        <v>-1365</v>
      </c>
      <c r="G20" s="5">
        <f>1702.58</f>
        <v>1702.58</v>
      </c>
      <c r="H20" s="5">
        <f>1824.74</f>
        <v>1824.74</v>
      </c>
      <c r="I20" s="5">
        <f>584.6</f>
        <v>584.6</v>
      </c>
      <c r="J20" s="5">
        <f>-486</f>
        <v>-486</v>
      </c>
      <c r="K20" s="5">
        <f>733.33</f>
        <v>733.33</v>
      </c>
      <c r="L20" s="5">
        <f>-923.76</f>
        <v>-923.76</v>
      </c>
      <c r="M20" s="5">
        <f t="shared" si="0"/>
        <v>3620.49</v>
      </c>
    </row>
    <row r="21" spans="1:13" x14ac:dyDescent="0.75">
      <c r="A21" s="3" t="s">
        <v>30</v>
      </c>
      <c r="B21" s="6">
        <f t="shared" ref="B21:L21" si="2">((B18)+(B19))+(B20)</f>
        <v>40464.869999999995</v>
      </c>
      <c r="C21" s="6">
        <f t="shared" si="2"/>
        <v>19689.910000000003</v>
      </c>
      <c r="D21" s="6">
        <f t="shared" si="2"/>
        <v>25229.64</v>
      </c>
      <c r="E21" s="6">
        <f t="shared" si="2"/>
        <v>26703.99</v>
      </c>
      <c r="F21" s="6">
        <f t="shared" si="2"/>
        <v>24328.48</v>
      </c>
      <c r="G21" s="6">
        <f t="shared" si="2"/>
        <v>29418.489999999998</v>
      </c>
      <c r="H21" s="6">
        <f t="shared" si="2"/>
        <v>31471.440000000002</v>
      </c>
      <c r="I21" s="6">
        <f t="shared" si="2"/>
        <v>43382.67</v>
      </c>
      <c r="J21" s="6">
        <f t="shared" si="2"/>
        <v>30180.760000000002</v>
      </c>
      <c r="K21" s="6">
        <f t="shared" si="2"/>
        <v>29923.59</v>
      </c>
      <c r="L21" s="6">
        <f t="shared" si="2"/>
        <v>31277.280000000002</v>
      </c>
      <c r="M21" s="6">
        <f t="shared" si="0"/>
        <v>332071.12000000005</v>
      </c>
    </row>
    <row r="22" spans="1:13" x14ac:dyDescent="0.75">
      <c r="A22" s="3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75">
      <c r="A23" s="3" t="s">
        <v>32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ref="M23:M29" si="3">((((((((((B23)+(C23))+(D23))+(E23))+(F23))+(G23))+(H23))+(I23))+(J23))+(K23))+(L23)</f>
        <v>0</v>
      </c>
    </row>
    <row r="24" spans="1:13" x14ac:dyDescent="0.75">
      <c r="A24" s="3" t="s">
        <v>33</v>
      </c>
      <c r="B24" s="4"/>
      <c r="C24" s="5">
        <f>112.29</f>
        <v>112.29</v>
      </c>
      <c r="D24" s="4"/>
      <c r="E24" s="5">
        <f>254.97</f>
        <v>254.97</v>
      </c>
      <c r="F24" s="5">
        <f>133.14</f>
        <v>133.13999999999999</v>
      </c>
      <c r="G24" s="5">
        <f>294.38</f>
        <v>294.38</v>
      </c>
      <c r="H24" s="4"/>
      <c r="I24" s="5">
        <f>396.65</f>
        <v>396.65</v>
      </c>
      <c r="J24" s="5">
        <f>184.31</f>
        <v>184.31</v>
      </c>
      <c r="K24" s="4"/>
      <c r="L24" s="4"/>
      <c r="M24" s="5">
        <f t="shared" si="3"/>
        <v>1375.7399999999998</v>
      </c>
    </row>
    <row r="25" spans="1:13" x14ac:dyDescent="0.75">
      <c r="A25" s="3" t="s">
        <v>34</v>
      </c>
      <c r="B25" s="4"/>
      <c r="C25" s="5">
        <f>426.8</f>
        <v>426.8</v>
      </c>
      <c r="D25" s="5">
        <f>425.8</f>
        <v>425.8</v>
      </c>
      <c r="E25" s="4"/>
      <c r="F25" s="5">
        <f>540.62</f>
        <v>540.62</v>
      </c>
      <c r="G25" s="4"/>
      <c r="H25" s="4"/>
      <c r="I25" s="5">
        <f>103.26</f>
        <v>103.26</v>
      </c>
      <c r="J25" s="5">
        <f>104.72</f>
        <v>104.72</v>
      </c>
      <c r="K25" s="5">
        <f>52.48</f>
        <v>52.48</v>
      </c>
      <c r="L25" s="5">
        <f>58.72</f>
        <v>58.72</v>
      </c>
      <c r="M25" s="5">
        <f t="shared" si="3"/>
        <v>1712.4</v>
      </c>
    </row>
    <row r="26" spans="1:13" x14ac:dyDescent="0.75">
      <c r="A26" s="3" t="s">
        <v>35</v>
      </c>
      <c r="B26" s="4"/>
      <c r="C26" s="4"/>
      <c r="D26" s="5">
        <f>237</f>
        <v>237</v>
      </c>
      <c r="E26" s="5">
        <f>301.87</f>
        <v>301.87</v>
      </c>
      <c r="F26" s="5">
        <f>228.69</f>
        <v>228.69</v>
      </c>
      <c r="G26" s="5">
        <f>219.96</f>
        <v>219.96</v>
      </c>
      <c r="H26" s="5">
        <f>151.05</f>
        <v>151.05000000000001</v>
      </c>
      <c r="I26" s="5">
        <f>150.73</f>
        <v>150.72999999999999</v>
      </c>
      <c r="J26" s="5">
        <f>222.36</f>
        <v>222.36</v>
      </c>
      <c r="K26" s="5">
        <f>29.07</f>
        <v>29.07</v>
      </c>
      <c r="L26" s="5">
        <f>38.62</f>
        <v>38.619999999999997</v>
      </c>
      <c r="M26" s="5">
        <f t="shared" si="3"/>
        <v>1579.3499999999997</v>
      </c>
    </row>
    <row r="27" spans="1:13" x14ac:dyDescent="0.75">
      <c r="A27" s="3" t="s">
        <v>36</v>
      </c>
      <c r="B27" s="6">
        <f t="shared" ref="B27:L27" si="4">(((B23)+(B24))+(B25))+(B26)</f>
        <v>0</v>
      </c>
      <c r="C27" s="6">
        <f t="shared" si="4"/>
        <v>539.09</v>
      </c>
      <c r="D27" s="6">
        <f t="shared" si="4"/>
        <v>662.8</v>
      </c>
      <c r="E27" s="6">
        <f t="shared" si="4"/>
        <v>556.84</v>
      </c>
      <c r="F27" s="6">
        <f t="shared" si="4"/>
        <v>902.45</v>
      </c>
      <c r="G27" s="6">
        <f t="shared" si="4"/>
        <v>514.34</v>
      </c>
      <c r="H27" s="6">
        <f t="shared" si="4"/>
        <v>151.05000000000001</v>
      </c>
      <c r="I27" s="6">
        <f t="shared" si="4"/>
        <v>650.64</v>
      </c>
      <c r="J27" s="6">
        <f t="shared" si="4"/>
        <v>511.39</v>
      </c>
      <c r="K27" s="6">
        <f t="shared" si="4"/>
        <v>81.55</v>
      </c>
      <c r="L27" s="6">
        <f t="shared" si="4"/>
        <v>97.34</v>
      </c>
      <c r="M27" s="6">
        <f t="shared" si="3"/>
        <v>4667.4900000000007</v>
      </c>
    </row>
    <row r="28" spans="1:13" x14ac:dyDescent="0.75">
      <c r="A28" s="3" t="s">
        <v>37</v>
      </c>
      <c r="B28" s="6">
        <f t="shared" ref="B28:L28" si="5">B27</f>
        <v>0</v>
      </c>
      <c r="C28" s="6">
        <f t="shared" si="5"/>
        <v>539.09</v>
      </c>
      <c r="D28" s="6">
        <f t="shared" si="5"/>
        <v>662.8</v>
      </c>
      <c r="E28" s="6">
        <f t="shared" si="5"/>
        <v>556.84</v>
      </c>
      <c r="F28" s="6">
        <f t="shared" si="5"/>
        <v>902.45</v>
      </c>
      <c r="G28" s="6">
        <f t="shared" si="5"/>
        <v>514.34</v>
      </c>
      <c r="H28" s="6">
        <f t="shared" si="5"/>
        <v>151.05000000000001</v>
      </c>
      <c r="I28" s="6">
        <f t="shared" si="5"/>
        <v>650.64</v>
      </c>
      <c r="J28" s="6">
        <f t="shared" si="5"/>
        <v>511.39</v>
      </c>
      <c r="K28" s="6">
        <f t="shared" si="5"/>
        <v>81.55</v>
      </c>
      <c r="L28" s="6">
        <f t="shared" si="5"/>
        <v>97.34</v>
      </c>
      <c r="M28" s="6">
        <f t="shared" si="3"/>
        <v>4667.4900000000007</v>
      </c>
    </row>
    <row r="29" spans="1:13" x14ac:dyDescent="0.75">
      <c r="A29" s="3" t="s">
        <v>38</v>
      </c>
      <c r="B29" s="6">
        <f t="shared" ref="B29:L29" si="6">(B21)-(B28)</f>
        <v>40464.869999999995</v>
      </c>
      <c r="C29" s="6">
        <f t="shared" si="6"/>
        <v>19150.820000000003</v>
      </c>
      <c r="D29" s="6">
        <f t="shared" si="6"/>
        <v>24566.84</v>
      </c>
      <c r="E29" s="6">
        <f t="shared" si="6"/>
        <v>26147.15</v>
      </c>
      <c r="F29" s="6">
        <f t="shared" si="6"/>
        <v>23426.03</v>
      </c>
      <c r="G29" s="6">
        <f t="shared" si="6"/>
        <v>28904.149999999998</v>
      </c>
      <c r="H29" s="6">
        <f t="shared" si="6"/>
        <v>31320.390000000003</v>
      </c>
      <c r="I29" s="6">
        <f t="shared" si="6"/>
        <v>42732.03</v>
      </c>
      <c r="J29" s="6">
        <f t="shared" si="6"/>
        <v>29669.370000000003</v>
      </c>
      <c r="K29" s="6">
        <f t="shared" si="6"/>
        <v>29842.04</v>
      </c>
      <c r="L29" s="6">
        <f t="shared" si="6"/>
        <v>31179.940000000002</v>
      </c>
      <c r="M29" s="6">
        <f t="shared" si="3"/>
        <v>327403.63</v>
      </c>
    </row>
    <row r="30" spans="1:13" x14ac:dyDescent="0.75">
      <c r="A30" s="3" t="s">
        <v>39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75">
      <c r="A31" s="3" t="s">
        <v>40</v>
      </c>
      <c r="B31" s="4"/>
      <c r="C31" s="5">
        <f>29.99</f>
        <v>29.99</v>
      </c>
      <c r="D31" s="5">
        <f>100.14</f>
        <v>100.14</v>
      </c>
      <c r="E31" s="4"/>
      <c r="F31" s="5">
        <f>77.4</f>
        <v>77.400000000000006</v>
      </c>
      <c r="G31" s="5">
        <f>1160</f>
        <v>1160</v>
      </c>
      <c r="H31" s="4"/>
      <c r="I31" s="5">
        <f>32</f>
        <v>32</v>
      </c>
      <c r="J31" s="5">
        <f>733.99</f>
        <v>733.99</v>
      </c>
      <c r="K31" s="5">
        <f>743.17</f>
        <v>743.17</v>
      </c>
      <c r="L31" s="4"/>
      <c r="M31" s="5">
        <f t="shared" ref="M31:M61" si="7">((((((((((B31)+(C31))+(D31))+(E31))+(F31))+(G31))+(H31))+(I31))+(J31))+(K31))+(L31)</f>
        <v>2876.69</v>
      </c>
    </row>
    <row r="32" spans="1:13" x14ac:dyDescent="0.75">
      <c r="A32" s="3" t="s">
        <v>41</v>
      </c>
      <c r="B32" s="4"/>
      <c r="C32" s="4"/>
      <c r="D32" s="4"/>
      <c r="E32" s="4"/>
      <c r="F32" s="4"/>
      <c r="G32" s="4"/>
      <c r="H32" s="4"/>
      <c r="I32" s="5">
        <f>15253.82</f>
        <v>15253.82</v>
      </c>
      <c r="J32" s="4"/>
      <c r="K32" s="4"/>
      <c r="L32" s="4"/>
      <c r="M32" s="5">
        <f t="shared" si="7"/>
        <v>15253.82</v>
      </c>
    </row>
    <row r="33" spans="1:13" x14ac:dyDescent="0.75">
      <c r="A33" s="3" t="s">
        <v>42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 t="shared" si="7"/>
        <v>0</v>
      </c>
    </row>
    <row r="34" spans="1:13" x14ac:dyDescent="0.75">
      <c r="A34" s="3" t="s">
        <v>43</v>
      </c>
      <c r="B34" s="4"/>
      <c r="C34" s="5">
        <f>2765.44</f>
        <v>2765.44</v>
      </c>
      <c r="D34" s="4"/>
      <c r="E34" s="4"/>
      <c r="F34" s="5">
        <f>3542.13</f>
        <v>3542.13</v>
      </c>
      <c r="G34" s="4"/>
      <c r="H34" s="4"/>
      <c r="I34" s="5">
        <f>1186.22</f>
        <v>1186.22</v>
      </c>
      <c r="J34" s="4"/>
      <c r="K34" s="5">
        <f>1007.98</f>
        <v>1007.98</v>
      </c>
      <c r="L34" s="5">
        <f>240.46</f>
        <v>240.46</v>
      </c>
      <c r="M34" s="5">
        <f t="shared" si="7"/>
        <v>8742.23</v>
      </c>
    </row>
    <row r="35" spans="1:13" x14ac:dyDescent="0.75">
      <c r="A35" s="3" t="s">
        <v>44</v>
      </c>
      <c r="B35" s="5">
        <f>535.5</f>
        <v>535.5</v>
      </c>
      <c r="C35" s="5">
        <f>476</f>
        <v>476</v>
      </c>
      <c r="D35" s="5">
        <f>527</f>
        <v>527</v>
      </c>
      <c r="E35" s="5">
        <f>510</f>
        <v>510</v>
      </c>
      <c r="F35" s="5">
        <f>535.5</f>
        <v>535.5</v>
      </c>
      <c r="G35" s="5">
        <f>510</f>
        <v>510</v>
      </c>
      <c r="H35" s="4"/>
      <c r="I35" s="4"/>
      <c r="J35" s="4"/>
      <c r="K35" s="4"/>
      <c r="L35" s="4"/>
      <c r="M35" s="5">
        <f t="shared" si="7"/>
        <v>3094</v>
      </c>
    </row>
    <row r="36" spans="1:13" x14ac:dyDescent="0.75">
      <c r="A36" s="3" t="s">
        <v>45</v>
      </c>
      <c r="B36" s="6">
        <f t="shared" ref="B36:L36" si="8">((B33)+(B34))+(B35)</f>
        <v>535.5</v>
      </c>
      <c r="C36" s="6">
        <f t="shared" si="8"/>
        <v>3241.44</v>
      </c>
      <c r="D36" s="6">
        <f t="shared" si="8"/>
        <v>527</v>
      </c>
      <c r="E36" s="6">
        <f t="shared" si="8"/>
        <v>510</v>
      </c>
      <c r="F36" s="6">
        <f t="shared" si="8"/>
        <v>4077.63</v>
      </c>
      <c r="G36" s="6">
        <f t="shared" si="8"/>
        <v>510</v>
      </c>
      <c r="H36" s="6">
        <f t="shared" si="8"/>
        <v>0</v>
      </c>
      <c r="I36" s="6">
        <f t="shared" si="8"/>
        <v>1186.22</v>
      </c>
      <c r="J36" s="6">
        <f t="shared" si="8"/>
        <v>0</v>
      </c>
      <c r="K36" s="6">
        <f t="shared" si="8"/>
        <v>1007.98</v>
      </c>
      <c r="L36" s="6">
        <f t="shared" si="8"/>
        <v>240.46</v>
      </c>
      <c r="M36" s="6">
        <f t="shared" si="7"/>
        <v>11836.229999999998</v>
      </c>
    </row>
    <row r="37" spans="1:13" x14ac:dyDescent="0.75">
      <c r="A37" s="3" t="s">
        <v>46</v>
      </c>
      <c r="B37" s="5">
        <f>170</f>
        <v>170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 t="shared" si="7"/>
        <v>170</v>
      </c>
    </row>
    <row r="38" spans="1:13" x14ac:dyDescent="0.75">
      <c r="A38" s="3" t="s">
        <v>47</v>
      </c>
      <c r="B38" s="5">
        <f>150</f>
        <v>150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 t="shared" si="7"/>
        <v>150</v>
      </c>
    </row>
    <row r="39" spans="1:13" x14ac:dyDescent="0.75">
      <c r="A39" s="3" t="s">
        <v>48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 t="shared" si="7"/>
        <v>0</v>
      </c>
    </row>
    <row r="40" spans="1:13" x14ac:dyDescent="0.75">
      <c r="A40" s="3" t="s">
        <v>49</v>
      </c>
      <c r="B40" s="5">
        <f>11</f>
        <v>11</v>
      </c>
      <c r="C40" s="5">
        <f>30</f>
        <v>30</v>
      </c>
      <c r="D40" s="5">
        <f>2</f>
        <v>2</v>
      </c>
      <c r="E40" s="5">
        <f>3.6</f>
        <v>3.6</v>
      </c>
      <c r="F40" s="5">
        <f>1.8</f>
        <v>1.8</v>
      </c>
      <c r="G40" s="5">
        <f>3.8</f>
        <v>3.8</v>
      </c>
      <c r="H40" s="5">
        <f>66.2</f>
        <v>66.2</v>
      </c>
      <c r="I40" s="5">
        <f>2</f>
        <v>2</v>
      </c>
      <c r="J40" s="5">
        <f>2</f>
        <v>2</v>
      </c>
      <c r="K40" s="5">
        <f>6.2</f>
        <v>6.2</v>
      </c>
      <c r="L40" s="5">
        <f>4.6</f>
        <v>4.5999999999999996</v>
      </c>
      <c r="M40" s="5">
        <f t="shared" si="7"/>
        <v>133.19999999999999</v>
      </c>
    </row>
    <row r="41" spans="1:13" x14ac:dyDescent="0.75">
      <c r="A41" s="3" t="s">
        <v>50</v>
      </c>
      <c r="B41" s="5">
        <f>375</f>
        <v>375</v>
      </c>
      <c r="C41" s="5">
        <f>255</f>
        <v>255</v>
      </c>
      <c r="D41" s="5">
        <f>255</f>
        <v>255</v>
      </c>
      <c r="E41" s="5">
        <f>255</f>
        <v>255</v>
      </c>
      <c r="F41" s="4"/>
      <c r="G41" s="5">
        <f>510</f>
        <v>510</v>
      </c>
      <c r="H41" s="4"/>
      <c r="I41" s="5">
        <f>480</f>
        <v>480</v>
      </c>
      <c r="J41" s="5">
        <f>590</f>
        <v>590</v>
      </c>
      <c r="K41" s="4"/>
      <c r="L41" s="4"/>
      <c r="M41" s="5">
        <f t="shared" si="7"/>
        <v>2720</v>
      </c>
    </row>
    <row r="42" spans="1:13" x14ac:dyDescent="0.75">
      <c r="A42" s="3" t="s">
        <v>51</v>
      </c>
      <c r="B42" s="4"/>
      <c r="C42" s="4"/>
      <c r="D42" s="5">
        <f>100</f>
        <v>100</v>
      </c>
      <c r="E42" s="4"/>
      <c r="F42" s="4"/>
      <c r="G42" s="4"/>
      <c r="H42" s="4"/>
      <c r="I42" s="4"/>
      <c r="J42" s="4"/>
      <c r="K42" s="4"/>
      <c r="L42" s="4"/>
      <c r="M42" s="5">
        <f t="shared" si="7"/>
        <v>100</v>
      </c>
    </row>
    <row r="43" spans="1:13" x14ac:dyDescent="0.75">
      <c r="A43" s="3" t="s">
        <v>52</v>
      </c>
      <c r="B43" s="5">
        <f>45</f>
        <v>45</v>
      </c>
      <c r="C43" s="5">
        <f>45</f>
        <v>45</v>
      </c>
      <c r="D43" s="5">
        <f>45</f>
        <v>45</v>
      </c>
      <c r="E43" s="5">
        <f>45</f>
        <v>45</v>
      </c>
      <c r="F43" s="4"/>
      <c r="G43" s="5">
        <f>90</f>
        <v>90</v>
      </c>
      <c r="H43" s="5">
        <f>76.49</f>
        <v>76.489999999999995</v>
      </c>
      <c r="I43" s="4"/>
      <c r="J43" s="5">
        <f>90</f>
        <v>90</v>
      </c>
      <c r="K43" s="4"/>
      <c r="L43" s="4"/>
      <c r="M43" s="5">
        <f t="shared" si="7"/>
        <v>436.49</v>
      </c>
    </row>
    <row r="44" spans="1:13" x14ac:dyDescent="0.75">
      <c r="A44" s="3" t="s">
        <v>53</v>
      </c>
      <c r="B44" s="5">
        <f>407.08</f>
        <v>407.08</v>
      </c>
      <c r="C44" s="5">
        <f>112.94</f>
        <v>112.94</v>
      </c>
      <c r="D44" s="5">
        <f>876.62</f>
        <v>876.62</v>
      </c>
      <c r="E44" s="5">
        <f>588.74</f>
        <v>588.74</v>
      </c>
      <c r="F44" s="5">
        <f>472.46</f>
        <v>472.46</v>
      </c>
      <c r="G44" s="5">
        <f>270.72</f>
        <v>270.72000000000003</v>
      </c>
      <c r="H44" s="5">
        <f>392.73</f>
        <v>392.73</v>
      </c>
      <c r="I44" s="4"/>
      <c r="J44" s="5">
        <f>185.92</f>
        <v>185.92</v>
      </c>
      <c r="K44" s="5">
        <f>804.6</f>
        <v>804.6</v>
      </c>
      <c r="L44" s="5">
        <f>213.95</f>
        <v>213.95</v>
      </c>
      <c r="M44" s="5">
        <f t="shared" si="7"/>
        <v>4325.7599999999993</v>
      </c>
    </row>
    <row r="45" spans="1:13" x14ac:dyDescent="0.75">
      <c r="A45" s="3" t="s">
        <v>54</v>
      </c>
      <c r="B45" s="4"/>
      <c r="C45" s="4"/>
      <c r="D45" s="5">
        <f>264</f>
        <v>264</v>
      </c>
      <c r="E45" s="4"/>
      <c r="F45" s="4"/>
      <c r="G45" s="5">
        <f>264</f>
        <v>264</v>
      </c>
      <c r="H45" s="4"/>
      <c r="I45" s="4"/>
      <c r="J45" s="5">
        <f>264</f>
        <v>264</v>
      </c>
      <c r="K45" s="4"/>
      <c r="L45" s="4"/>
      <c r="M45" s="5">
        <f t="shared" si="7"/>
        <v>792</v>
      </c>
    </row>
    <row r="46" spans="1:13" x14ac:dyDescent="0.75">
      <c r="A46" s="3" t="s">
        <v>55</v>
      </c>
      <c r="B46" s="6">
        <f t="shared" ref="B46:L46" si="9">((((((B39)+(B40))+(B41))+(B42))+(B43))+(B44))+(B45)</f>
        <v>838.07999999999993</v>
      </c>
      <c r="C46" s="6">
        <f t="shared" si="9"/>
        <v>442.94</v>
      </c>
      <c r="D46" s="6">
        <f t="shared" si="9"/>
        <v>1542.62</v>
      </c>
      <c r="E46" s="6">
        <f t="shared" si="9"/>
        <v>892.34</v>
      </c>
      <c r="F46" s="6">
        <f t="shared" si="9"/>
        <v>474.26</v>
      </c>
      <c r="G46" s="6">
        <f t="shared" si="9"/>
        <v>1138.52</v>
      </c>
      <c r="H46" s="6">
        <f t="shared" si="9"/>
        <v>535.42000000000007</v>
      </c>
      <c r="I46" s="6">
        <f t="shared" si="9"/>
        <v>482</v>
      </c>
      <c r="J46" s="6">
        <f t="shared" si="9"/>
        <v>1131.92</v>
      </c>
      <c r="K46" s="6">
        <f t="shared" si="9"/>
        <v>810.80000000000007</v>
      </c>
      <c r="L46" s="6">
        <f t="shared" si="9"/>
        <v>218.54999999999998</v>
      </c>
      <c r="M46" s="6">
        <f t="shared" si="7"/>
        <v>8507.4499999999989</v>
      </c>
    </row>
    <row r="47" spans="1:13" x14ac:dyDescent="0.75">
      <c r="A47" s="3" t="s">
        <v>56</v>
      </c>
      <c r="B47" s="5">
        <f>2527.93</f>
        <v>2527.9299999999998</v>
      </c>
      <c r="C47" s="5">
        <f t="shared" ref="C47:K47" si="10">2951.93</f>
        <v>2951.93</v>
      </c>
      <c r="D47" s="5">
        <f t="shared" si="10"/>
        <v>2951.93</v>
      </c>
      <c r="E47" s="5">
        <f t="shared" si="10"/>
        <v>2951.93</v>
      </c>
      <c r="F47" s="5">
        <f t="shared" si="10"/>
        <v>2951.93</v>
      </c>
      <c r="G47" s="5">
        <f t="shared" si="10"/>
        <v>2951.93</v>
      </c>
      <c r="H47" s="5">
        <f t="shared" si="10"/>
        <v>2951.93</v>
      </c>
      <c r="I47" s="5">
        <f t="shared" si="10"/>
        <v>2951.93</v>
      </c>
      <c r="J47" s="5">
        <f t="shared" si="10"/>
        <v>2951.93</v>
      </c>
      <c r="K47" s="5">
        <f t="shared" si="10"/>
        <v>2951.93</v>
      </c>
      <c r="L47" s="4"/>
      <c r="M47" s="5">
        <f t="shared" si="7"/>
        <v>29095.3</v>
      </c>
    </row>
    <row r="48" spans="1:13" x14ac:dyDescent="0.75">
      <c r="A48" s="3" t="s">
        <v>57</v>
      </c>
      <c r="B48" s="5">
        <f>598.57</f>
        <v>598.57000000000005</v>
      </c>
      <c r="C48" s="4"/>
      <c r="D48" s="5">
        <f>90</f>
        <v>90</v>
      </c>
      <c r="E48" s="5">
        <f>40.42</f>
        <v>40.42</v>
      </c>
      <c r="F48" s="5">
        <f>1705.96</f>
        <v>1705.96</v>
      </c>
      <c r="G48" s="5">
        <f>525</f>
        <v>525</v>
      </c>
      <c r="H48" s="5">
        <f>1575</f>
        <v>1575</v>
      </c>
      <c r="I48" s="5">
        <f>875</f>
        <v>875</v>
      </c>
      <c r="J48" s="5">
        <f>59.01</f>
        <v>59.01</v>
      </c>
      <c r="K48" s="5">
        <f>700</f>
        <v>700</v>
      </c>
      <c r="L48" s="5">
        <f>700</f>
        <v>700</v>
      </c>
      <c r="M48" s="5">
        <f t="shared" si="7"/>
        <v>6868.96</v>
      </c>
    </row>
    <row r="49" spans="1:13" x14ac:dyDescent="0.75">
      <c r="A49" s="3" t="s">
        <v>58</v>
      </c>
      <c r="B49" s="4"/>
      <c r="C49" s="4"/>
      <c r="D49" s="4"/>
      <c r="E49" s="5">
        <f>1125</f>
        <v>1125</v>
      </c>
      <c r="F49" s="4"/>
      <c r="G49" s="4"/>
      <c r="H49" s="4"/>
      <c r="I49" s="5">
        <f>712.5</f>
        <v>712.5</v>
      </c>
      <c r="J49" s="5">
        <f>270</f>
        <v>270</v>
      </c>
      <c r="K49" s="4"/>
      <c r="L49" s="4"/>
      <c r="M49" s="5">
        <f t="shared" si="7"/>
        <v>2107.5</v>
      </c>
    </row>
    <row r="50" spans="1:13" x14ac:dyDescent="0.75">
      <c r="A50" s="3" t="s">
        <v>59</v>
      </c>
      <c r="B50" s="4"/>
      <c r="C50" s="4"/>
      <c r="D50" s="5">
        <f>168</f>
        <v>168</v>
      </c>
      <c r="E50" s="5">
        <f>48</f>
        <v>48</v>
      </c>
      <c r="F50" s="5">
        <f>96</f>
        <v>96</v>
      </c>
      <c r="G50" s="5">
        <f>48</f>
        <v>48</v>
      </c>
      <c r="H50" s="4"/>
      <c r="I50" s="5">
        <f>712</f>
        <v>712</v>
      </c>
      <c r="J50" s="5">
        <f>400</f>
        <v>400</v>
      </c>
      <c r="K50" s="5">
        <f>72</f>
        <v>72</v>
      </c>
      <c r="L50" s="5">
        <f>48</f>
        <v>48</v>
      </c>
      <c r="M50" s="5">
        <f t="shared" si="7"/>
        <v>1592</v>
      </c>
    </row>
    <row r="51" spans="1:13" x14ac:dyDescent="0.75">
      <c r="A51" s="3" t="s">
        <v>60</v>
      </c>
      <c r="B51" s="4"/>
      <c r="C51" s="5">
        <f>1100</f>
        <v>1100</v>
      </c>
      <c r="D51" s="4"/>
      <c r="E51" s="4"/>
      <c r="F51" s="4"/>
      <c r="G51" s="4"/>
      <c r="H51" s="4"/>
      <c r="I51" s="4"/>
      <c r="J51" s="5">
        <f>1100</f>
        <v>1100</v>
      </c>
      <c r="K51" s="4"/>
      <c r="L51" s="4"/>
      <c r="M51" s="5">
        <f t="shared" si="7"/>
        <v>2200</v>
      </c>
    </row>
    <row r="52" spans="1:13" x14ac:dyDescent="0.75">
      <c r="A52" s="3" t="s">
        <v>61</v>
      </c>
      <c r="B52" s="5">
        <f>321.16</f>
        <v>321.16000000000003</v>
      </c>
      <c r="C52" s="4"/>
      <c r="D52" s="5">
        <f>375.88</f>
        <v>375.88</v>
      </c>
      <c r="E52" s="4"/>
      <c r="F52" s="4"/>
      <c r="G52" s="5">
        <f>138</f>
        <v>138</v>
      </c>
      <c r="H52" s="5">
        <f>1200</f>
        <v>1200</v>
      </c>
      <c r="I52" s="4"/>
      <c r="J52" s="4"/>
      <c r="K52" s="5">
        <f>400</f>
        <v>400</v>
      </c>
      <c r="L52" s="4"/>
      <c r="M52" s="5">
        <f t="shared" si="7"/>
        <v>2435.04</v>
      </c>
    </row>
    <row r="53" spans="1:13" x14ac:dyDescent="0.75">
      <c r="A53" s="3" t="s">
        <v>62</v>
      </c>
      <c r="B53" s="6">
        <f t="shared" ref="B53:L53" si="11">((B50)+(B51))+(B52)</f>
        <v>321.16000000000003</v>
      </c>
      <c r="C53" s="6">
        <f t="shared" si="11"/>
        <v>1100</v>
      </c>
      <c r="D53" s="6">
        <f t="shared" si="11"/>
        <v>543.88</v>
      </c>
      <c r="E53" s="6">
        <f t="shared" si="11"/>
        <v>48</v>
      </c>
      <c r="F53" s="6">
        <f t="shared" si="11"/>
        <v>96</v>
      </c>
      <c r="G53" s="6">
        <f t="shared" si="11"/>
        <v>186</v>
      </c>
      <c r="H53" s="6">
        <f t="shared" si="11"/>
        <v>1200</v>
      </c>
      <c r="I53" s="6">
        <f t="shared" si="11"/>
        <v>712</v>
      </c>
      <c r="J53" s="6">
        <f t="shared" si="11"/>
        <v>1500</v>
      </c>
      <c r="K53" s="6">
        <f t="shared" si="11"/>
        <v>472</v>
      </c>
      <c r="L53" s="6">
        <f t="shared" si="11"/>
        <v>48</v>
      </c>
      <c r="M53" s="6">
        <f t="shared" si="7"/>
        <v>6227.04</v>
      </c>
    </row>
    <row r="54" spans="1:13" x14ac:dyDescent="0.75">
      <c r="A54" s="3" t="s">
        <v>63</v>
      </c>
      <c r="B54" s="5">
        <f>1910.87</f>
        <v>1910.87</v>
      </c>
      <c r="C54" s="4"/>
      <c r="D54" s="5">
        <f>2389.94</f>
        <v>2389.94</v>
      </c>
      <c r="E54" s="5">
        <f>1256.2</f>
        <v>1256.2</v>
      </c>
      <c r="F54" s="5">
        <f>1178.93</f>
        <v>1178.93</v>
      </c>
      <c r="G54" s="5">
        <f>1455.35</f>
        <v>1455.35</v>
      </c>
      <c r="H54" s="5">
        <f>1543.69</f>
        <v>1543.69</v>
      </c>
      <c r="I54" s="4"/>
      <c r="J54" s="5">
        <f>2867.96</f>
        <v>2867.96</v>
      </c>
      <c r="K54" s="5">
        <f>1441.08</f>
        <v>1441.08</v>
      </c>
      <c r="L54" s="5">
        <f>1608.75</f>
        <v>1608.75</v>
      </c>
      <c r="M54" s="5">
        <f t="shared" si="7"/>
        <v>15652.769999999999</v>
      </c>
    </row>
    <row r="55" spans="1:13" x14ac:dyDescent="0.75">
      <c r="A55" s="3" t="s">
        <v>64</v>
      </c>
      <c r="B55" s="5">
        <f>53.75</f>
        <v>53.75</v>
      </c>
      <c r="C55" s="5">
        <f>53.75</f>
        <v>53.75</v>
      </c>
      <c r="D55" s="5">
        <f>51.5</f>
        <v>51.5</v>
      </c>
      <c r="E55" s="4"/>
      <c r="F55" s="4"/>
      <c r="G55" s="5">
        <f>114.4</f>
        <v>114.4</v>
      </c>
      <c r="H55" s="4"/>
      <c r="I55" s="4"/>
      <c r="J55" s="4"/>
      <c r="K55" s="4"/>
      <c r="L55" s="4"/>
      <c r="M55" s="5">
        <f t="shared" si="7"/>
        <v>273.39999999999998</v>
      </c>
    </row>
    <row r="56" spans="1:13" x14ac:dyDescent="0.75">
      <c r="A56" s="3" t="s">
        <v>65</v>
      </c>
      <c r="B56" s="4"/>
      <c r="C56" s="4"/>
      <c r="D56" s="4"/>
      <c r="E56" s="4"/>
      <c r="F56" s="4"/>
      <c r="G56" s="4"/>
      <c r="H56" s="4"/>
      <c r="I56" s="4"/>
      <c r="J56" s="5">
        <f>110.6</f>
        <v>110.6</v>
      </c>
      <c r="K56" s="5">
        <f>127.57</f>
        <v>127.57</v>
      </c>
      <c r="L56" s="5">
        <f>131.62</f>
        <v>131.62</v>
      </c>
      <c r="M56" s="5">
        <f t="shared" si="7"/>
        <v>369.78999999999996</v>
      </c>
    </row>
    <row r="57" spans="1:13" x14ac:dyDescent="0.75">
      <c r="A57" s="3" t="s">
        <v>66</v>
      </c>
      <c r="B57" s="5">
        <f>200.04</f>
        <v>200.04</v>
      </c>
      <c r="C57" s="5">
        <f>259.92</f>
        <v>259.92</v>
      </c>
      <c r="D57" s="5">
        <f>300.95</f>
        <v>300.95</v>
      </c>
      <c r="E57" s="5">
        <f>191.82</f>
        <v>191.82</v>
      </c>
      <c r="F57" s="5">
        <f>614.38</f>
        <v>614.38</v>
      </c>
      <c r="G57" s="5">
        <f>504.74</f>
        <v>504.74</v>
      </c>
      <c r="H57" s="5">
        <f>365.59</f>
        <v>365.59</v>
      </c>
      <c r="I57" s="5">
        <f>382.54</f>
        <v>382.54</v>
      </c>
      <c r="J57" s="5">
        <f>323.85</f>
        <v>323.85000000000002</v>
      </c>
      <c r="K57" s="5">
        <f>415.74</f>
        <v>415.74</v>
      </c>
      <c r="L57" s="5">
        <f>557.95</f>
        <v>557.95000000000005</v>
      </c>
      <c r="M57" s="5">
        <f t="shared" si="7"/>
        <v>4117.5200000000004</v>
      </c>
    </row>
    <row r="58" spans="1:13" x14ac:dyDescent="0.75">
      <c r="A58" s="3" t="s">
        <v>67</v>
      </c>
      <c r="B58" s="5">
        <f>1826.78</f>
        <v>1826.78</v>
      </c>
      <c r="C58" s="5">
        <f>2373.72</f>
        <v>2373.7199999999998</v>
      </c>
      <c r="D58" s="5">
        <f>2760.5</f>
        <v>2760.5</v>
      </c>
      <c r="E58" s="5">
        <f>1789.15</f>
        <v>1789.15</v>
      </c>
      <c r="F58" s="5">
        <f>7478.81</f>
        <v>7478.81</v>
      </c>
      <c r="G58" s="5">
        <f>5372.14</f>
        <v>5372.14</v>
      </c>
      <c r="H58" s="5">
        <f>3418.17</f>
        <v>3418.17</v>
      </c>
      <c r="I58" s="5">
        <f>3564.11</f>
        <v>3564.11</v>
      </c>
      <c r="J58" s="5">
        <f>3395.88</f>
        <v>3395.88</v>
      </c>
      <c r="K58" s="5">
        <f>4083.27</f>
        <v>4083.27</v>
      </c>
      <c r="L58" s="5">
        <f>5161.3</f>
        <v>5161.3</v>
      </c>
      <c r="M58" s="5">
        <f t="shared" si="7"/>
        <v>41223.83</v>
      </c>
    </row>
    <row r="59" spans="1:13" x14ac:dyDescent="0.75">
      <c r="A59" s="3" t="s">
        <v>68</v>
      </c>
      <c r="B59" s="4"/>
      <c r="C59" s="4"/>
      <c r="D59" s="5">
        <f>266.33</f>
        <v>266.33</v>
      </c>
      <c r="E59" s="4"/>
      <c r="F59" s="4"/>
      <c r="G59" s="5">
        <f>437.86</f>
        <v>437.86</v>
      </c>
      <c r="H59" s="4"/>
      <c r="I59" s="4"/>
      <c r="J59" s="4"/>
      <c r="K59" s="4"/>
      <c r="L59" s="4"/>
      <c r="M59" s="5">
        <f t="shared" si="7"/>
        <v>704.19</v>
      </c>
    </row>
    <row r="60" spans="1:13" x14ac:dyDescent="0.75">
      <c r="A60" s="3" t="s">
        <v>69</v>
      </c>
      <c r="B60" s="6">
        <f t="shared" ref="B60:L60" si="12">((((B55)+(B56))+(B57))+(B58))+(B59)</f>
        <v>2080.5700000000002</v>
      </c>
      <c r="C60" s="6">
        <f t="shared" si="12"/>
        <v>2687.39</v>
      </c>
      <c r="D60" s="6">
        <f t="shared" si="12"/>
        <v>3379.2799999999997</v>
      </c>
      <c r="E60" s="6">
        <f t="shared" si="12"/>
        <v>1980.97</v>
      </c>
      <c r="F60" s="6">
        <f t="shared" si="12"/>
        <v>8093.1900000000005</v>
      </c>
      <c r="G60" s="6">
        <f t="shared" si="12"/>
        <v>6429.14</v>
      </c>
      <c r="H60" s="6">
        <f t="shared" si="12"/>
        <v>3783.76</v>
      </c>
      <c r="I60" s="6">
        <f t="shared" si="12"/>
        <v>3946.65</v>
      </c>
      <c r="J60" s="6">
        <f t="shared" si="12"/>
        <v>3830.33</v>
      </c>
      <c r="K60" s="6">
        <f t="shared" si="12"/>
        <v>4626.58</v>
      </c>
      <c r="L60" s="6">
        <f t="shared" si="12"/>
        <v>5850.87</v>
      </c>
      <c r="M60" s="6">
        <f t="shared" si="7"/>
        <v>46688.73000000001</v>
      </c>
    </row>
    <row r="61" spans="1:13" x14ac:dyDescent="0.75">
      <c r="A61" s="3" t="s">
        <v>70</v>
      </c>
      <c r="B61" s="4"/>
      <c r="C61" s="4"/>
      <c r="D61" s="4"/>
      <c r="E61" s="5">
        <f>14071.04</f>
        <v>14071.04</v>
      </c>
      <c r="F61" s="4"/>
      <c r="G61" s="4"/>
      <c r="H61" s="4"/>
      <c r="I61" s="4"/>
      <c r="J61" s="4"/>
      <c r="K61" s="4"/>
      <c r="L61" s="4"/>
      <c r="M61" s="5">
        <f t="shared" si="7"/>
        <v>14071.04</v>
      </c>
    </row>
    <row r="62" spans="1:13" x14ac:dyDescent="0.75">
      <c r="A62" s="3" t="s">
        <v>71</v>
      </c>
      <c r="B62" s="4"/>
      <c r="C62" s="5">
        <f>293.73</f>
        <v>293.73</v>
      </c>
      <c r="D62" s="4"/>
      <c r="E62" s="5">
        <f>67.73</f>
        <v>67.73</v>
      </c>
      <c r="F62" s="4"/>
      <c r="G62" s="5">
        <f>13.11</f>
        <v>13.11</v>
      </c>
      <c r="H62" s="4"/>
      <c r="I62" s="4"/>
      <c r="J62" s="4"/>
      <c r="K62" s="4"/>
      <c r="L62" s="4"/>
      <c r="M62" s="5">
        <f t="shared" ref="M62:M92" si="13">((((((((((B62)+(C62))+(D62))+(E62))+(F62))+(G62))+(H62))+(I62))+(J62))+(K62))+(L62)</f>
        <v>374.57000000000005</v>
      </c>
    </row>
    <row r="63" spans="1:13" x14ac:dyDescent="0.75">
      <c r="A63" s="3" t="s">
        <v>72</v>
      </c>
      <c r="B63" s="5">
        <f>327.87</f>
        <v>327.87</v>
      </c>
      <c r="C63" s="5">
        <f>2681.88</f>
        <v>2681.88</v>
      </c>
      <c r="D63" s="4"/>
      <c r="E63" s="4"/>
      <c r="F63" s="4"/>
      <c r="G63" s="5">
        <f>354.09</f>
        <v>354.09</v>
      </c>
      <c r="H63" s="4"/>
      <c r="I63" s="4"/>
      <c r="J63" s="4"/>
      <c r="K63" s="4"/>
      <c r="L63" s="5">
        <f>17.97</f>
        <v>17.97</v>
      </c>
      <c r="M63" s="5">
        <f t="shared" si="13"/>
        <v>3381.81</v>
      </c>
    </row>
    <row r="64" spans="1:13" x14ac:dyDescent="0.75">
      <c r="A64" s="3" t="s">
        <v>73</v>
      </c>
      <c r="B64" s="4"/>
      <c r="C64" s="4"/>
      <c r="D64" s="5">
        <f>495.6</f>
        <v>495.6</v>
      </c>
      <c r="E64" s="5">
        <f>182.5</f>
        <v>182.5</v>
      </c>
      <c r="F64" s="5">
        <f>404.5</f>
        <v>404.5</v>
      </c>
      <c r="G64" s="5">
        <f>120</f>
        <v>120</v>
      </c>
      <c r="H64" s="5">
        <f>120</f>
        <v>120</v>
      </c>
      <c r="I64" s="4"/>
      <c r="J64" s="4"/>
      <c r="K64" s="4"/>
      <c r="L64" s="4"/>
      <c r="M64" s="5">
        <f t="shared" si="13"/>
        <v>1322.6</v>
      </c>
    </row>
    <row r="65" spans="1:13" x14ac:dyDescent="0.75">
      <c r="A65" s="3" t="s">
        <v>74</v>
      </c>
      <c r="B65" s="5">
        <f>61.87</f>
        <v>61.87</v>
      </c>
      <c r="C65" s="4"/>
      <c r="D65" s="5">
        <f>1628.71</f>
        <v>1628.71</v>
      </c>
      <c r="E65" s="5">
        <f>580.05</f>
        <v>580.04999999999995</v>
      </c>
      <c r="F65" s="5">
        <f>869.01</f>
        <v>869.01</v>
      </c>
      <c r="G65" s="5">
        <f>1451.27</f>
        <v>1451.27</v>
      </c>
      <c r="H65" s="5">
        <f>884.82</f>
        <v>884.82</v>
      </c>
      <c r="I65" s="5">
        <f>450</f>
        <v>450</v>
      </c>
      <c r="J65" s="5">
        <f>537.44</f>
        <v>537.44000000000005</v>
      </c>
      <c r="K65" s="5">
        <f>490.98</f>
        <v>490.98</v>
      </c>
      <c r="L65" s="4"/>
      <c r="M65" s="5">
        <f t="shared" si="13"/>
        <v>6954.15</v>
      </c>
    </row>
    <row r="66" spans="1:13" x14ac:dyDescent="0.75">
      <c r="A66" s="3" t="s">
        <v>75</v>
      </c>
      <c r="B66" s="5">
        <f>702.5</f>
        <v>702.5</v>
      </c>
      <c r="C66" s="4"/>
      <c r="D66" s="4"/>
      <c r="E66" s="4"/>
      <c r="F66" s="4"/>
      <c r="G66" s="5">
        <f>120.23</f>
        <v>120.23</v>
      </c>
      <c r="H66" s="4"/>
      <c r="I66" s="4"/>
      <c r="J66" s="4"/>
      <c r="K66" s="5">
        <f>3.04</f>
        <v>3.04</v>
      </c>
      <c r="L66" s="4"/>
      <c r="M66" s="5">
        <f t="shared" si="13"/>
        <v>825.77</v>
      </c>
    </row>
    <row r="67" spans="1:13" x14ac:dyDescent="0.75">
      <c r="A67" s="3" t="s">
        <v>76</v>
      </c>
      <c r="B67" s="5">
        <f>731.48</f>
        <v>731.48</v>
      </c>
      <c r="C67" s="4"/>
      <c r="D67" s="5">
        <f>424.52</f>
        <v>424.52</v>
      </c>
      <c r="E67" s="5">
        <f>284.3</f>
        <v>284.3</v>
      </c>
      <c r="F67" s="5">
        <f>205.4</f>
        <v>205.4</v>
      </c>
      <c r="G67" s="5">
        <f>332.89</f>
        <v>332.89</v>
      </c>
      <c r="H67" s="5">
        <f>163.36</f>
        <v>163.36000000000001</v>
      </c>
      <c r="I67" s="5">
        <f>137.43</f>
        <v>137.43</v>
      </c>
      <c r="J67" s="5">
        <f>109.96</f>
        <v>109.96</v>
      </c>
      <c r="K67" s="5">
        <f>77.54</f>
        <v>77.540000000000006</v>
      </c>
      <c r="L67" s="5">
        <f>108.49</f>
        <v>108.49</v>
      </c>
      <c r="M67" s="5">
        <f t="shared" si="13"/>
        <v>2575.37</v>
      </c>
    </row>
    <row r="68" spans="1:13" x14ac:dyDescent="0.75">
      <c r="A68" s="3" t="s">
        <v>77</v>
      </c>
      <c r="B68" s="5">
        <f>1318.7</f>
        <v>1318.7</v>
      </c>
      <c r="C68" s="5">
        <f>125</f>
        <v>125</v>
      </c>
      <c r="D68" s="4"/>
      <c r="E68" s="5">
        <f>120.23</f>
        <v>120.23</v>
      </c>
      <c r="F68" s="5">
        <f>538</f>
        <v>538</v>
      </c>
      <c r="G68" s="5">
        <f>1677</f>
        <v>1677</v>
      </c>
      <c r="H68" s="5">
        <f>741</f>
        <v>741</v>
      </c>
      <c r="I68" s="5">
        <f>1761</f>
        <v>1761</v>
      </c>
      <c r="J68" s="5">
        <f>884.61</f>
        <v>884.61</v>
      </c>
      <c r="K68" s="5">
        <f>107.6</f>
        <v>107.6</v>
      </c>
      <c r="L68" s="5">
        <f>148.02</f>
        <v>148.02000000000001</v>
      </c>
      <c r="M68" s="5">
        <f t="shared" si="13"/>
        <v>7421.1600000000008</v>
      </c>
    </row>
    <row r="69" spans="1:13" x14ac:dyDescent="0.75">
      <c r="A69" s="3" t="s">
        <v>78</v>
      </c>
      <c r="B69" s="5">
        <f>52.66</f>
        <v>52.66</v>
      </c>
      <c r="C69" s="5">
        <f>92.84</f>
        <v>92.84</v>
      </c>
      <c r="D69" s="4"/>
      <c r="E69" s="5">
        <f>285</f>
        <v>285</v>
      </c>
      <c r="F69" s="5">
        <f>29.49</f>
        <v>29.49</v>
      </c>
      <c r="G69" s="5">
        <f>411.55</f>
        <v>411.55</v>
      </c>
      <c r="H69" s="5">
        <f>27.95</f>
        <v>27.95</v>
      </c>
      <c r="I69" s="4"/>
      <c r="J69" s="4"/>
      <c r="K69" s="5">
        <f>28.8</f>
        <v>28.8</v>
      </c>
      <c r="L69" s="5">
        <f>6.54</f>
        <v>6.54</v>
      </c>
      <c r="M69" s="5">
        <f t="shared" si="13"/>
        <v>934.82999999999993</v>
      </c>
    </row>
    <row r="70" spans="1:13" x14ac:dyDescent="0.75">
      <c r="A70" s="3" t="s">
        <v>79</v>
      </c>
      <c r="B70" s="4"/>
      <c r="C70" s="4"/>
      <c r="D70" s="4"/>
      <c r="E70" s="4"/>
      <c r="F70" s="4"/>
      <c r="G70" s="4"/>
      <c r="H70" s="4"/>
      <c r="I70" s="4"/>
      <c r="J70" s="4"/>
      <c r="K70" s="5">
        <f>9.39</f>
        <v>9.39</v>
      </c>
      <c r="L70" s="4"/>
      <c r="M70" s="5">
        <f t="shared" si="13"/>
        <v>9.39</v>
      </c>
    </row>
    <row r="71" spans="1:13" x14ac:dyDescent="0.75">
      <c r="A71" s="3" t="s">
        <v>80</v>
      </c>
      <c r="B71" s="5">
        <f>700.98</f>
        <v>700.98</v>
      </c>
      <c r="C71" s="4"/>
      <c r="D71" s="5">
        <f>1064.24</f>
        <v>1064.24</v>
      </c>
      <c r="E71" s="4"/>
      <c r="F71" s="5">
        <f>59.31</f>
        <v>59.31</v>
      </c>
      <c r="G71" s="4"/>
      <c r="H71" s="5">
        <f>22.57</f>
        <v>22.57</v>
      </c>
      <c r="I71" s="4"/>
      <c r="J71" s="5">
        <f>33.16</f>
        <v>33.159999999999997</v>
      </c>
      <c r="K71" s="4"/>
      <c r="L71" s="5">
        <f>85.77</f>
        <v>85.77</v>
      </c>
      <c r="M71" s="5">
        <f t="shared" si="13"/>
        <v>1966.03</v>
      </c>
    </row>
    <row r="72" spans="1:13" x14ac:dyDescent="0.75">
      <c r="A72" s="3" t="s">
        <v>81</v>
      </c>
      <c r="B72" s="4"/>
      <c r="C72" s="5">
        <f>196.74</f>
        <v>196.74</v>
      </c>
      <c r="D72" s="4"/>
      <c r="E72" s="4"/>
      <c r="F72" s="4"/>
      <c r="G72" s="4"/>
      <c r="H72" s="5">
        <f>196.74</f>
        <v>196.74</v>
      </c>
      <c r="I72" s="5">
        <f>1071.14</f>
        <v>1071.1400000000001</v>
      </c>
      <c r="J72" s="4"/>
      <c r="K72" s="5">
        <f>273.25</f>
        <v>273.25</v>
      </c>
      <c r="L72" s="4"/>
      <c r="M72" s="5">
        <f t="shared" si="13"/>
        <v>1737.8700000000001</v>
      </c>
    </row>
    <row r="73" spans="1:13" x14ac:dyDescent="0.75">
      <c r="A73" s="3" t="s">
        <v>82</v>
      </c>
      <c r="B73" s="4"/>
      <c r="C73" s="4"/>
      <c r="D73" s="5">
        <f>914.34</f>
        <v>914.34</v>
      </c>
      <c r="E73" s="5">
        <f>1051.12</f>
        <v>1051.1199999999999</v>
      </c>
      <c r="F73" s="4"/>
      <c r="G73" s="5">
        <f>777.99</f>
        <v>777.99</v>
      </c>
      <c r="H73" s="5">
        <f>79</f>
        <v>79</v>
      </c>
      <c r="I73" s="5">
        <f>277</f>
        <v>277</v>
      </c>
      <c r="J73" s="5">
        <f>21.84</f>
        <v>21.84</v>
      </c>
      <c r="K73" s="4"/>
      <c r="L73" s="5">
        <f>693.38</f>
        <v>693.38</v>
      </c>
      <c r="M73" s="5">
        <f t="shared" si="13"/>
        <v>3814.67</v>
      </c>
    </row>
    <row r="74" spans="1:13" x14ac:dyDescent="0.75">
      <c r="A74" s="3" t="s">
        <v>83</v>
      </c>
      <c r="B74" s="4"/>
      <c r="C74" s="4"/>
      <c r="D74" s="4"/>
      <c r="E74" s="4"/>
      <c r="F74" s="4"/>
      <c r="G74" s="5">
        <f>515</f>
        <v>515</v>
      </c>
      <c r="H74" s="4"/>
      <c r="I74" s="4"/>
      <c r="J74" s="4"/>
      <c r="K74" s="4"/>
      <c r="L74" s="4"/>
      <c r="M74" s="5">
        <f t="shared" si="13"/>
        <v>515</v>
      </c>
    </row>
    <row r="75" spans="1:13" x14ac:dyDescent="0.75">
      <c r="A75" s="3" t="s">
        <v>84</v>
      </c>
      <c r="B75" s="4"/>
      <c r="C75" s="4"/>
      <c r="D75" s="4"/>
      <c r="E75" s="4"/>
      <c r="F75" s="4"/>
      <c r="G75" s="4"/>
      <c r="H75" s="4"/>
      <c r="I75" s="4"/>
      <c r="J75" s="4"/>
      <c r="K75" s="5">
        <f>489</f>
        <v>489</v>
      </c>
      <c r="L75" s="4"/>
      <c r="M75" s="5">
        <f t="shared" si="13"/>
        <v>489</v>
      </c>
    </row>
    <row r="76" spans="1:13" x14ac:dyDescent="0.75">
      <c r="A76" s="3" t="s">
        <v>85</v>
      </c>
      <c r="B76" s="4"/>
      <c r="C76" s="4"/>
      <c r="D76" s="4"/>
      <c r="E76" s="4"/>
      <c r="F76" s="4"/>
      <c r="G76" s="5">
        <f>9.65</f>
        <v>9.65</v>
      </c>
      <c r="H76" s="4"/>
      <c r="I76" s="4"/>
      <c r="J76" s="4"/>
      <c r="K76" s="4"/>
      <c r="L76" s="4"/>
      <c r="M76" s="5">
        <f t="shared" si="13"/>
        <v>9.65</v>
      </c>
    </row>
    <row r="77" spans="1:13" x14ac:dyDescent="0.75">
      <c r="A77" s="3" t="s">
        <v>86</v>
      </c>
      <c r="B77" s="6">
        <f t="shared" ref="B77:L77" si="14">((((((((((((((B62)+(B63))+(B64))+(B65))+(B66))+(B67))+(B68))+(B69))+(B70))+(B71))+(B72))+(B73))+(B74))+(B75))+(B76)</f>
        <v>3896.06</v>
      </c>
      <c r="C77" s="6">
        <f t="shared" si="14"/>
        <v>3390.1900000000005</v>
      </c>
      <c r="D77" s="6">
        <f t="shared" si="14"/>
        <v>4527.41</v>
      </c>
      <c r="E77" s="6">
        <f t="shared" si="14"/>
        <v>2570.9299999999998</v>
      </c>
      <c r="F77" s="6">
        <f t="shared" si="14"/>
        <v>2105.71</v>
      </c>
      <c r="G77" s="6">
        <f t="shared" si="14"/>
        <v>5782.7799999999988</v>
      </c>
      <c r="H77" s="6">
        <f t="shared" si="14"/>
        <v>2235.44</v>
      </c>
      <c r="I77" s="6">
        <f t="shared" si="14"/>
        <v>3696.5700000000006</v>
      </c>
      <c r="J77" s="6">
        <f t="shared" si="14"/>
        <v>1587.0100000000002</v>
      </c>
      <c r="K77" s="6">
        <f t="shared" si="14"/>
        <v>1479.6</v>
      </c>
      <c r="L77" s="6">
        <f t="shared" si="14"/>
        <v>1060.17</v>
      </c>
      <c r="M77" s="6">
        <f t="shared" si="13"/>
        <v>32331.869999999995</v>
      </c>
    </row>
    <row r="78" spans="1:13" x14ac:dyDescent="0.75">
      <c r="A78" s="3" t="s">
        <v>87</v>
      </c>
      <c r="B78" s="5">
        <f>660.26</f>
        <v>660.26</v>
      </c>
      <c r="C78" s="5">
        <f>2920.16</f>
        <v>2920.16</v>
      </c>
      <c r="D78" s="5">
        <f>3434.59</f>
        <v>3434.59</v>
      </c>
      <c r="E78" s="5">
        <f>2248.15</f>
        <v>2248.15</v>
      </c>
      <c r="F78" s="5">
        <f>155.43</f>
        <v>155.43</v>
      </c>
      <c r="G78" s="5">
        <f>308.87</f>
        <v>308.87</v>
      </c>
      <c r="H78" s="5">
        <f>1454.06</f>
        <v>1454.06</v>
      </c>
      <c r="I78" s="5">
        <f>688.69</f>
        <v>688.69</v>
      </c>
      <c r="J78" s="5">
        <f>333.16</f>
        <v>333.16</v>
      </c>
      <c r="K78" s="5">
        <f>325.91</f>
        <v>325.91000000000003</v>
      </c>
      <c r="L78" s="5">
        <f>308.57</f>
        <v>308.57</v>
      </c>
      <c r="M78" s="5">
        <f t="shared" si="13"/>
        <v>12837.85</v>
      </c>
    </row>
    <row r="79" spans="1:13" x14ac:dyDescent="0.75">
      <c r="A79" s="3" t="s">
        <v>88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">
        <f t="shared" si="13"/>
        <v>0</v>
      </c>
    </row>
    <row r="80" spans="1:13" x14ac:dyDescent="0.75">
      <c r="A80" s="3" t="s">
        <v>89</v>
      </c>
      <c r="B80" s="4"/>
      <c r="C80" s="4"/>
      <c r="D80" s="4"/>
      <c r="E80" s="4"/>
      <c r="F80" s="4"/>
      <c r="G80" s="4"/>
      <c r="H80" s="4"/>
      <c r="I80" s="4"/>
      <c r="J80" s="5">
        <f>600</f>
        <v>600</v>
      </c>
      <c r="K80" s="4"/>
      <c r="L80" s="4"/>
      <c r="M80" s="5">
        <f t="shared" si="13"/>
        <v>600</v>
      </c>
    </row>
    <row r="81" spans="1:13" x14ac:dyDescent="0.75">
      <c r="A81" s="3" t="s">
        <v>90</v>
      </c>
      <c r="B81" s="6">
        <f t="shared" ref="B81:L81" si="15">(B79)+(B80)</f>
        <v>0</v>
      </c>
      <c r="C81" s="6">
        <f t="shared" si="15"/>
        <v>0</v>
      </c>
      <c r="D81" s="6">
        <f t="shared" si="15"/>
        <v>0</v>
      </c>
      <c r="E81" s="6">
        <f t="shared" si="15"/>
        <v>0</v>
      </c>
      <c r="F81" s="6">
        <f t="shared" si="15"/>
        <v>0</v>
      </c>
      <c r="G81" s="6">
        <f t="shared" si="15"/>
        <v>0</v>
      </c>
      <c r="H81" s="6">
        <f t="shared" si="15"/>
        <v>0</v>
      </c>
      <c r="I81" s="6">
        <f t="shared" si="15"/>
        <v>0</v>
      </c>
      <c r="J81" s="6">
        <f t="shared" si="15"/>
        <v>600</v>
      </c>
      <c r="K81" s="6">
        <f t="shared" si="15"/>
        <v>0</v>
      </c>
      <c r="L81" s="6">
        <f t="shared" si="15"/>
        <v>0</v>
      </c>
      <c r="M81" s="6">
        <f t="shared" si="13"/>
        <v>600</v>
      </c>
    </row>
    <row r="82" spans="1:13" x14ac:dyDescent="0.75">
      <c r="A82" s="3" t="s">
        <v>91</v>
      </c>
      <c r="B82" s="4"/>
      <c r="C82" s="4"/>
      <c r="D82" s="4"/>
      <c r="E82" s="4"/>
      <c r="F82" s="4"/>
      <c r="G82" s="5">
        <f>21.08</f>
        <v>21.08</v>
      </c>
      <c r="H82" s="5">
        <f>42.16</f>
        <v>42.16</v>
      </c>
      <c r="I82" s="5">
        <f>21.08</f>
        <v>21.08</v>
      </c>
      <c r="J82" s="4"/>
      <c r="K82" s="5">
        <f>47.6</f>
        <v>47.6</v>
      </c>
      <c r="L82" s="4"/>
      <c r="M82" s="5">
        <f t="shared" si="13"/>
        <v>131.91999999999999</v>
      </c>
    </row>
    <row r="83" spans="1:13" x14ac:dyDescent="0.75">
      <c r="A83" s="3" t="s">
        <v>92</v>
      </c>
      <c r="B83" s="5">
        <f>200</f>
        <v>200</v>
      </c>
      <c r="C83" s="5">
        <f>200</f>
        <v>200</v>
      </c>
      <c r="D83" s="5">
        <f>200</f>
        <v>200</v>
      </c>
      <c r="E83" s="5">
        <f>200</f>
        <v>200</v>
      </c>
      <c r="F83" s="5">
        <f>200</f>
        <v>200</v>
      </c>
      <c r="G83" s="4"/>
      <c r="H83" s="4"/>
      <c r="I83" s="4"/>
      <c r="J83" s="4"/>
      <c r="K83" s="4"/>
      <c r="L83" s="4"/>
      <c r="M83" s="5">
        <f t="shared" si="13"/>
        <v>1000</v>
      </c>
    </row>
    <row r="84" spans="1:13" x14ac:dyDescent="0.75">
      <c r="A84" s="3" t="s">
        <v>93</v>
      </c>
      <c r="B84" s="4"/>
      <c r="C84" s="4"/>
      <c r="D84" s="4"/>
      <c r="E84" s="4"/>
      <c r="F84" s="4"/>
      <c r="G84" s="5">
        <f>0</f>
        <v>0</v>
      </c>
      <c r="H84" s="4"/>
      <c r="I84" s="4"/>
      <c r="J84" s="4"/>
      <c r="K84" s="4"/>
      <c r="L84" s="4"/>
      <c r="M84" s="5">
        <f t="shared" si="13"/>
        <v>0</v>
      </c>
    </row>
    <row r="85" spans="1:13" x14ac:dyDescent="0.75">
      <c r="A85" s="3" t="s">
        <v>94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5">
        <f t="shared" si="13"/>
        <v>0</v>
      </c>
    </row>
    <row r="86" spans="1:13" x14ac:dyDescent="0.75">
      <c r="A86" s="3" t="s">
        <v>95</v>
      </c>
      <c r="B86" s="5">
        <f>628.14</f>
        <v>628.14</v>
      </c>
      <c r="C86" s="5">
        <f>195.92</f>
        <v>195.92</v>
      </c>
      <c r="D86" s="5">
        <f>61.18</f>
        <v>61.18</v>
      </c>
      <c r="E86" s="5">
        <f>371.26</f>
        <v>371.26</v>
      </c>
      <c r="F86" s="5">
        <f>283.39</f>
        <v>283.39</v>
      </c>
      <c r="G86" s="5">
        <f>314.27</f>
        <v>314.27</v>
      </c>
      <c r="H86" s="5">
        <f>58.86</f>
        <v>58.86</v>
      </c>
      <c r="I86" s="5">
        <f>988.73</f>
        <v>988.73</v>
      </c>
      <c r="J86" s="5">
        <f>431.66</f>
        <v>431.66</v>
      </c>
      <c r="K86" s="5">
        <f>130.94</f>
        <v>130.94</v>
      </c>
      <c r="L86" s="5">
        <f>466.19</f>
        <v>466.19</v>
      </c>
      <c r="M86" s="5">
        <f t="shared" si="13"/>
        <v>3930.54</v>
      </c>
    </row>
    <row r="87" spans="1:13" x14ac:dyDescent="0.75">
      <c r="A87" s="3" t="s">
        <v>96</v>
      </c>
      <c r="B87" s="5">
        <f>1540.98</f>
        <v>1540.98</v>
      </c>
      <c r="C87" s="5">
        <f>936.42</f>
        <v>936.42</v>
      </c>
      <c r="D87" s="5">
        <f>693.63</f>
        <v>693.63</v>
      </c>
      <c r="E87" s="5">
        <f>840.94</f>
        <v>840.94</v>
      </c>
      <c r="F87" s="5">
        <f>557.98</f>
        <v>557.98</v>
      </c>
      <c r="G87" s="4"/>
      <c r="H87" s="5">
        <f>296.49</f>
        <v>296.49</v>
      </c>
      <c r="I87" s="5">
        <f>154.97</f>
        <v>154.97</v>
      </c>
      <c r="J87" s="5">
        <f>86</f>
        <v>86</v>
      </c>
      <c r="K87" s="5">
        <f>86.73</f>
        <v>86.73</v>
      </c>
      <c r="L87" s="5">
        <f>165.28</f>
        <v>165.28</v>
      </c>
      <c r="M87" s="5">
        <f t="shared" si="13"/>
        <v>5359.42</v>
      </c>
    </row>
    <row r="88" spans="1:13" x14ac:dyDescent="0.75">
      <c r="A88" s="3" t="s">
        <v>97</v>
      </c>
      <c r="B88" s="4"/>
      <c r="C88" s="4"/>
      <c r="D88" s="5">
        <f>172.41</f>
        <v>172.41</v>
      </c>
      <c r="E88" s="5">
        <f>90.77</f>
        <v>90.77</v>
      </c>
      <c r="F88" s="5">
        <f>193.39</f>
        <v>193.39</v>
      </c>
      <c r="G88" s="5">
        <f>422.47</f>
        <v>422.47</v>
      </c>
      <c r="H88" s="5">
        <f>55</f>
        <v>55</v>
      </c>
      <c r="I88" s="5">
        <f>163.13</f>
        <v>163.13</v>
      </c>
      <c r="J88" s="5">
        <f>276.04</f>
        <v>276.04000000000002</v>
      </c>
      <c r="K88" s="5">
        <f>62.93</f>
        <v>62.93</v>
      </c>
      <c r="L88" s="5">
        <f>174.2</f>
        <v>174.2</v>
      </c>
      <c r="M88" s="5">
        <f t="shared" si="13"/>
        <v>1610.3400000000001</v>
      </c>
    </row>
    <row r="89" spans="1:13" x14ac:dyDescent="0.75">
      <c r="A89" s="3" t="s">
        <v>98</v>
      </c>
      <c r="B89" s="5">
        <f>631.63</f>
        <v>631.63</v>
      </c>
      <c r="C89" s="5">
        <f>731.75</f>
        <v>731.75</v>
      </c>
      <c r="D89" s="5">
        <f>1270.54</f>
        <v>1270.54</v>
      </c>
      <c r="E89" s="5">
        <f>263.08</f>
        <v>263.08</v>
      </c>
      <c r="F89" s="5">
        <f>230.16</f>
        <v>230.16</v>
      </c>
      <c r="G89" s="5">
        <f>261.5</f>
        <v>261.5</v>
      </c>
      <c r="H89" s="5">
        <f>195.34</f>
        <v>195.34</v>
      </c>
      <c r="I89" s="5">
        <f>129.51</f>
        <v>129.51</v>
      </c>
      <c r="J89" s="5">
        <f>112.62</f>
        <v>112.62</v>
      </c>
      <c r="K89" s="5">
        <f>85.36</f>
        <v>85.36</v>
      </c>
      <c r="L89" s="5">
        <f>119.22</f>
        <v>119.22</v>
      </c>
      <c r="M89" s="5">
        <f t="shared" si="13"/>
        <v>4030.71</v>
      </c>
    </row>
    <row r="90" spans="1:13" x14ac:dyDescent="0.75">
      <c r="A90" s="3" t="s">
        <v>99</v>
      </c>
      <c r="B90" s="6">
        <f t="shared" ref="B90:L90" si="16">((((B85)+(B86))+(B87))+(B88))+(B89)</f>
        <v>2800.75</v>
      </c>
      <c r="C90" s="6">
        <f t="shared" si="16"/>
        <v>1864.09</v>
      </c>
      <c r="D90" s="6">
        <f t="shared" si="16"/>
        <v>2197.7599999999998</v>
      </c>
      <c r="E90" s="6">
        <f t="shared" si="16"/>
        <v>1566.05</v>
      </c>
      <c r="F90" s="6">
        <f t="shared" si="16"/>
        <v>1264.92</v>
      </c>
      <c r="G90" s="6">
        <f t="shared" si="16"/>
        <v>998.24</v>
      </c>
      <c r="H90" s="6">
        <f t="shared" si="16"/>
        <v>605.69000000000005</v>
      </c>
      <c r="I90" s="6">
        <f t="shared" si="16"/>
        <v>1436.34</v>
      </c>
      <c r="J90" s="6">
        <f t="shared" si="16"/>
        <v>906.32</v>
      </c>
      <c r="K90" s="6">
        <f t="shared" si="16"/>
        <v>365.96000000000004</v>
      </c>
      <c r="L90" s="6">
        <f t="shared" si="16"/>
        <v>924.8900000000001</v>
      </c>
      <c r="M90" s="6">
        <f t="shared" si="13"/>
        <v>14931.009999999998</v>
      </c>
    </row>
    <row r="91" spans="1:13" x14ac:dyDescent="0.75">
      <c r="A91" s="3" t="s">
        <v>100</v>
      </c>
      <c r="B91" s="6">
        <f t="shared" ref="B91:M91" si="17">((((((((((((((((((((B31)+(B32))+(B36))+(B37))+(B38))+(B46))+(B47))+(B48))+(B49))+(B53))+(B54))+(B60))+(B61))+(B77))+(B78))+(B81))+(B82))+(B83))+(B84))+(B90))</f>
        <v>16689.75</v>
      </c>
      <c r="C91" s="6">
        <f t="shared" si="17"/>
        <v>18828.13</v>
      </c>
      <c r="D91" s="6">
        <f t="shared" si="17"/>
        <v>21884.55</v>
      </c>
      <c r="E91" s="6">
        <f t="shared" si="17"/>
        <v>29461.030000000002</v>
      </c>
      <c r="F91" s="6">
        <f t="shared" si="17"/>
        <v>22381.360000000001</v>
      </c>
      <c r="G91" s="6">
        <f t="shared" si="17"/>
        <v>21466.91</v>
      </c>
      <c r="H91" s="6">
        <f t="shared" si="17"/>
        <v>15927.150000000001</v>
      </c>
      <c r="I91" s="6">
        <f t="shared" si="17"/>
        <v>31994.800000000003</v>
      </c>
      <c r="J91" s="6">
        <f t="shared" si="17"/>
        <v>16771.63</v>
      </c>
      <c r="K91" s="6">
        <f t="shared" si="17"/>
        <v>14972.61</v>
      </c>
      <c r="L91" s="6">
        <f t="shared" si="17"/>
        <v>10960.26</v>
      </c>
      <c r="M91" s="6">
        <f t="shared" si="17"/>
        <v>221338.18000000002</v>
      </c>
    </row>
    <row r="92" spans="1:13" x14ac:dyDescent="0.75">
      <c r="A92" s="3" t="s">
        <v>101</v>
      </c>
      <c r="B92" s="6">
        <f t="shared" ref="B92:L92" si="18">(B29)-(B91)</f>
        <v>23775.119999999995</v>
      </c>
      <c r="C92" s="6">
        <f t="shared" si="18"/>
        <v>322.69000000000233</v>
      </c>
      <c r="D92" s="6">
        <f t="shared" si="18"/>
        <v>2682.2900000000009</v>
      </c>
      <c r="E92" s="6">
        <f t="shared" si="18"/>
        <v>-3313.880000000001</v>
      </c>
      <c r="F92" s="6">
        <f t="shared" si="18"/>
        <v>1044.6699999999983</v>
      </c>
      <c r="G92" s="6">
        <f t="shared" si="18"/>
        <v>7437.239999999998</v>
      </c>
      <c r="H92" s="6">
        <f t="shared" si="18"/>
        <v>15393.240000000002</v>
      </c>
      <c r="I92" s="6">
        <f t="shared" si="18"/>
        <v>10737.229999999996</v>
      </c>
      <c r="J92" s="6">
        <f t="shared" si="18"/>
        <v>12897.740000000002</v>
      </c>
      <c r="K92" s="6">
        <f t="shared" si="18"/>
        <v>14869.43</v>
      </c>
      <c r="L92" s="6">
        <f t="shared" si="18"/>
        <v>20219.68</v>
      </c>
      <c r="M92" s="6">
        <f t="shared" si="13"/>
        <v>106065.44999999998</v>
      </c>
    </row>
    <row r="93" spans="1:13" x14ac:dyDescent="0.75">
      <c r="A93" s="3" t="s">
        <v>102</v>
      </c>
      <c r="B93" s="6">
        <f t="shared" ref="B93:L93" si="19">(B92)+(0)</f>
        <v>23775.119999999995</v>
      </c>
      <c r="C93" s="6">
        <f t="shared" si="19"/>
        <v>322.69000000000233</v>
      </c>
      <c r="D93" s="6">
        <f t="shared" si="19"/>
        <v>2682.2900000000009</v>
      </c>
      <c r="E93" s="6">
        <f t="shared" si="19"/>
        <v>-3313.880000000001</v>
      </c>
      <c r="F93" s="6">
        <f t="shared" si="19"/>
        <v>1044.6699999999983</v>
      </c>
      <c r="G93" s="6">
        <f t="shared" si="19"/>
        <v>7437.239999999998</v>
      </c>
      <c r="H93" s="6">
        <f t="shared" si="19"/>
        <v>15393.240000000002</v>
      </c>
      <c r="I93" s="6">
        <f t="shared" si="19"/>
        <v>10737.229999999996</v>
      </c>
      <c r="J93" s="6">
        <f t="shared" si="19"/>
        <v>12897.740000000002</v>
      </c>
      <c r="K93" s="6">
        <f t="shared" si="19"/>
        <v>14869.43</v>
      </c>
      <c r="L93" s="6">
        <f t="shared" si="19"/>
        <v>20219.68</v>
      </c>
      <c r="M93" s="6">
        <f>((((((((((B93)+(C93))+(D93))+(E93))+(F93))+(G93))+(H93))+(I93))+(J93))+(K93))+(L93)</f>
        <v>106065.44999999998</v>
      </c>
    </row>
    <row r="94" spans="1:13" x14ac:dyDescent="0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7" spans="1:13" x14ac:dyDescent="0.75">
      <c r="A97" s="7" t="s">
        <v>103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</sheetData>
  <mergeCells count="4">
    <mergeCell ref="A97:M97"/>
    <mergeCell ref="A1:M1"/>
    <mergeCell ref="A2:M2"/>
    <mergeCell ref="A3:M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D62D-789F-4E3B-AE1A-1395C3AD9E0E}">
  <dimension ref="A1:E12"/>
  <sheetViews>
    <sheetView workbookViewId="0">
      <selection activeCell="E2" sqref="E2"/>
    </sheetView>
  </sheetViews>
  <sheetFormatPr defaultRowHeight="14.75" x14ac:dyDescent="0.75"/>
  <cols>
    <col min="1" max="1" width="19.86328125" bestFit="1" customWidth="1"/>
    <col min="2" max="2" width="15.26953125" bestFit="1" customWidth="1"/>
    <col min="3" max="3" width="12.54296875" bestFit="1" customWidth="1"/>
    <col min="4" max="4" width="11.1328125" bestFit="1" customWidth="1"/>
    <col min="5" max="5" width="14.26953125" bestFit="1" customWidth="1"/>
  </cols>
  <sheetData>
    <row r="1" spans="1:5" x14ac:dyDescent="0.75">
      <c r="A1" t="s">
        <v>27</v>
      </c>
      <c r="B1" t="s">
        <v>28</v>
      </c>
      <c r="C1" t="s">
        <v>30</v>
      </c>
      <c r="D1" t="s">
        <v>56</v>
      </c>
      <c r="E1" t="s">
        <v>100</v>
      </c>
    </row>
    <row r="2" spans="1:5" x14ac:dyDescent="0.75">
      <c r="A2">
        <v>4060.13</v>
      </c>
      <c r="B2">
        <v>35014.74</v>
      </c>
      <c r="C2">
        <v>40464.869999999995</v>
      </c>
      <c r="D2">
        <v>2527.9299999999998</v>
      </c>
      <c r="E2">
        <v>16689.75</v>
      </c>
    </row>
    <row r="3" spans="1:5" x14ac:dyDescent="0.75">
      <c r="A3">
        <v>1547.92</v>
      </c>
      <c r="B3">
        <v>18781.990000000002</v>
      </c>
      <c r="C3">
        <v>19689.910000000003</v>
      </c>
      <c r="D3">
        <v>2951.93</v>
      </c>
      <c r="E3">
        <v>18828.13</v>
      </c>
    </row>
    <row r="4" spans="1:5" x14ac:dyDescent="0.75">
      <c r="A4">
        <v>1277.51</v>
      </c>
      <c r="B4">
        <v>22627.13</v>
      </c>
      <c r="C4">
        <v>25229.64</v>
      </c>
      <c r="D4">
        <v>2951.93</v>
      </c>
      <c r="E4">
        <v>21884.55</v>
      </c>
    </row>
    <row r="5" spans="1:5" x14ac:dyDescent="0.75">
      <c r="A5">
        <v>1870.34</v>
      </c>
      <c r="B5">
        <v>25358.65</v>
      </c>
      <c r="C5">
        <v>26703.99</v>
      </c>
      <c r="D5">
        <v>2951.93</v>
      </c>
      <c r="E5">
        <v>29461.030000000002</v>
      </c>
    </row>
    <row r="6" spans="1:5" x14ac:dyDescent="0.75">
      <c r="A6">
        <v>1893.3600000000001</v>
      </c>
      <c r="B6">
        <v>23800.12</v>
      </c>
      <c r="C6">
        <v>24328.48</v>
      </c>
      <c r="D6">
        <v>2951.93</v>
      </c>
      <c r="E6">
        <v>22381.360000000001</v>
      </c>
    </row>
    <row r="7" spans="1:5" x14ac:dyDescent="0.75">
      <c r="A7">
        <v>1356.52</v>
      </c>
      <c r="B7">
        <v>26359.39</v>
      </c>
      <c r="C7">
        <v>29418.489999999998</v>
      </c>
      <c r="D7">
        <v>2951.93</v>
      </c>
      <c r="E7">
        <v>21466.91</v>
      </c>
    </row>
    <row r="8" spans="1:5" x14ac:dyDescent="0.75">
      <c r="A8">
        <v>1943.2100000000003</v>
      </c>
      <c r="B8">
        <v>27703.49</v>
      </c>
      <c r="C8">
        <v>31471.440000000002</v>
      </c>
      <c r="D8">
        <v>2951.93</v>
      </c>
      <c r="E8">
        <v>15927.150000000001</v>
      </c>
    </row>
    <row r="9" spans="1:5" x14ac:dyDescent="0.75">
      <c r="A9">
        <v>5934.62</v>
      </c>
      <c r="B9">
        <v>36863.449999999997</v>
      </c>
      <c r="C9">
        <v>43382.67</v>
      </c>
      <c r="D9">
        <v>2951.93</v>
      </c>
      <c r="E9">
        <v>31994.800000000003</v>
      </c>
    </row>
    <row r="10" spans="1:5" x14ac:dyDescent="0.75">
      <c r="A10">
        <v>1249.43</v>
      </c>
      <c r="B10">
        <v>29417.33</v>
      </c>
      <c r="C10">
        <v>30180.760000000002</v>
      </c>
      <c r="D10">
        <v>2951.93</v>
      </c>
      <c r="E10">
        <v>16771.63</v>
      </c>
    </row>
    <row r="11" spans="1:5" x14ac:dyDescent="0.75">
      <c r="A11">
        <v>1067.03</v>
      </c>
      <c r="B11">
        <v>28123.23</v>
      </c>
      <c r="C11">
        <v>29923.59</v>
      </c>
      <c r="D11">
        <v>2951.93</v>
      </c>
      <c r="E11">
        <v>14972.61</v>
      </c>
    </row>
    <row r="12" spans="1:5" x14ac:dyDescent="0.75">
      <c r="A12">
        <v>1574.2</v>
      </c>
      <c r="B12">
        <v>30626.84</v>
      </c>
      <c r="C12">
        <v>31277.280000000002</v>
      </c>
      <c r="E12">
        <v>10960.26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 and Loss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Austin Paul</cp:lastModifiedBy>
  <cp:revision/>
  <dcterms:created xsi:type="dcterms:W3CDTF">2023-12-30T11:51:34Z</dcterms:created>
  <dcterms:modified xsi:type="dcterms:W3CDTF">2024-01-23T15:42:36Z</dcterms:modified>
  <cp:category/>
  <cp:contentStatus/>
</cp:coreProperties>
</file>