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en Nuspl\Downloads\"/>
    </mc:Choice>
  </mc:AlternateContent>
  <xr:revisionPtr revIDLastSave="0" documentId="8_{FC92B47A-8B92-4618-B1A8-0455B364A3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9" i="1" l="1"/>
  <c r="N89" i="1" s="1"/>
  <c r="E74" i="1"/>
  <c r="N95" i="1" l="1"/>
  <c r="N96" i="1"/>
  <c r="N72" i="1"/>
  <c r="D50" i="1"/>
  <c r="N42" i="1"/>
  <c r="N43" i="1"/>
  <c r="C37" i="1"/>
  <c r="D37" i="1"/>
  <c r="B27" i="1" l="1"/>
  <c r="C27" i="1"/>
  <c r="D27" i="1"/>
  <c r="E27" i="1"/>
  <c r="F27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E100" i="1"/>
  <c r="D100" i="1"/>
  <c r="B100" i="1"/>
  <c r="M99" i="1"/>
  <c r="L99" i="1"/>
  <c r="K99" i="1"/>
  <c r="J99" i="1"/>
  <c r="I99" i="1"/>
  <c r="H99" i="1"/>
  <c r="M98" i="1"/>
  <c r="L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J94" i="1"/>
  <c r="I94" i="1"/>
  <c r="H94" i="1"/>
  <c r="G94" i="1"/>
  <c r="F94" i="1"/>
  <c r="E94" i="1"/>
  <c r="M93" i="1"/>
  <c r="L93" i="1"/>
  <c r="K93" i="1"/>
  <c r="M92" i="1"/>
  <c r="L92" i="1"/>
  <c r="K92" i="1"/>
  <c r="J92" i="1"/>
  <c r="I92" i="1"/>
  <c r="H92" i="1"/>
  <c r="G92" i="1"/>
  <c r="F92" i="1"/>
  <c r="E92" i="1"/>
  <c r="D92" i="1"/>
  <c r="C92" i="1"/>
  <c r="B92" i="1"/>
  <c r="N88" i="1"/>
  <c r="K87" i="1"/>
  <c r="N87" i="1" s="1"/>
  <c r="B86" i="1"/>
  <c r="N86" i="1" s="1"/>
  <c r="B85" i="1"/>
  <c r="N85" i="1" s="1"/>
  <c r="M84" i="1"/>
  <c r="L84" i="1"/>
  <c r="K84" i="1"/>
  <c r="I84" i="1"/>
  <c r="H84" i="1"/>
  <c r="E84" i="1"/>
  <c r="D84" i="1"/>
  <c r="C84" i="1"/>
  <c r="B84" i="1"/>
  <c r="M83" i="1"/>
  <c r="L83" i="1"/>
  <c r="G83" i="1"/>
  <c r="L82" i="1"/>
  <c r="J82" i="1"/>
  <c r="H82" i="1"/>
  <c r="F82" i="1"/>
  <c r="D82" i="1"/>
  <c r="L81" i="1"/>
  <c r="K81" i="1"/>
  <c r="J81" i="1"/>
  <c r="I81" i="1"/>
  <c r="G81" i="1"/>
  <c r="F81" i="1"/>
  <c r="D81" i="1"/>
  <c r="C81" i="1"/>
  <c r="M80" i="1"/>
  <c r="L80" i="1"/>
  <c r="K80" i="1"/>
  <c r="J80" i="1"/>
  <c r="I80" i="1"/>
  <c r="G80" i="1"/>
  <c r="F80" i="1"/>
  <c r="D80" i="1"/>
  <c r="C80" i="1"/>
  <c r="B80" i="1"/>
  <c r="M79" i="1"/>
  <c r="L79" i="1"/>
  <c r="K79" i="1"/>
  <c r="J79" i="1"/>
  <c r="I79" i="1"/>
  <c r="H79" i="1"/>
  <c r="F79" i="1"/>
  <c r="K78" i="1"/>
  <c r="F78" i="1"/>
  <c r="B78" i="1"/>
  <c r="M77" i="1"/>
  <c r="L77" i="1"/>
  <c r="K77" i="1"/>
  <c r="J77" i="1"/>
  <c r="I77" i="1"/>
  <c r="H77" i="1"/>
  <c r="F77" i="1"/>
  <c r="D77" i="1"/>
  <c r="C77" i="1"/>
  <c r="B77" i="1"/>
  <c r="L76" i="1"/>
  <c r="K76" i="1"/>
  <c r="J76" i="1"/>
  <c r="I76" i="1"/>
  <c r="H76" i="1"/>
  <c r="D76" i="1"/>
  <c r="C76" i="1"/>
  <c r="K75" i="1"/>
  <c r="G75" i="1"/>
  <c r="F75" i="1"/>
  <c r="D75" i="1"/>
  <c r="C75" i="1"/>
  <c r="B75" i="1"/>
  <c r="K74" i="1"/>
  <c r="I74" i="1"/>
  <c r="G74" i="1"/>
  <c r="D73" i="1"/>
  <c r="N73" i="1" s="1"/>
  <c r="M71" i="1"/>
  <c r="L71" i="1"/>
  <c r="K71" i="1"/>
  <c r="J71" i="1"/>
  <c r="I71" i="1"/>
  <c r="H71" i="1"/>
  <c r="G71" i="1"/>
  <c r="F71" i="1"/>
  <c r="E71" i="1"/>
  <c r="D71" i="1"/>
  <c r="C71" i="1"/>
  <c r="B71" i="1"/>
  <c r="K68" i="1"/>
  <c r="H68" i="1"/>
  <c r="M67" i="1"/>
  <c r="L67" i="1"/>
  <c r="K67" i="1"/>
  <c r="J67" i="1"/>
  <c r="I67" i="1"/>
  <c r="H67" i="1"/>
  <c r="G67" i="1"/>
  <c r="F67" i="1"/>
  <c r="E67" i="1"/>
  <c r="M66" i="1"/>
  <c r="L66" i="1"/>
  <c r="K66" i="1"/>
  <c r="J66" i="1"/>
  <c r="I66" i="1"/>
  <c r="H66" i="1"/>
  <c r="G66" i="1"/>
  <c r="F66" i="1"/>
  <c r="E66" i="1"/>
  <c r="K65" i="1"/>
  <c r="H65" i="1"/>
  <c r="G65" i="1"/>
  <c r="F65" i="1"/>
  <c r="D63" i="1"/>
  <c r="C63" i="1"/>
  <c r="L62" i="1"/>
  <c r="K62" i="1"/>
  <c r="J62" i="1"/>
  <c r="I62" i="1"/>
  <c r="H62" i="1"/>
  <c r="F62" i="1"/>
  <c r="E62" i="1"/>
  <c r="D62" i="1"/>
  <c r="C62" i="1"/>
  <c r="B62" i="1"/>
  <c r="B69" i="1" s="1"/>
  <c r="L59" i="1"/>
  <c r="K59" i="1"/>
  <c r="H59" i="1"/>
  <c r="F59" i="1"/>
  <c r="B59" i="1"/>
  <c r="G58" i="1"/>
  <c r="E58" i="1"/>
  <c r="C58" i="1"/>
  <c r="B58" i="1"/>
  <c r="M57" i="1"/>
  <c r="K57" i="1"/>
  <c r="J57" i="1"/>
  <c r="I57" i="1"/>
  <c r="H57" i="1"/>
  <c r="M55" i="1"/>
  <c r="I55" i="1"/>
  <c r="M54" i="1"/>
  <c r="L54" i="1"/>
  <c r="K54" i="1"/>
  <c r="J54" i="1"/>
  <c r="I54" i="1"/>
  <c r="H54" i="1"/>
  <c r="F54" i="1"/>
  <c r="D54" i="1"/>
  <c r="D60" i="1" s="1"/>
  <c r="C54" i="1"/>
  <c r="B54" i="1"/>
  <c r="M53" i="1"/>
  <c r="L53" i="1"/>
  <c r="K53" i="1"/>
  <c r="J53" i="1"/>
  <c r="I53" i="1"/>
  <c r="H53" i="1"/>
  <c r="G53" i="1"/>
  <c r="F53" i="1"/>
  <c r="E53" i="1"/>
  <c r="B53" i="1"/>
  <c r="K49" i="1"/>
  <c r="H49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H46" i="1"/>
  <c r="N46" i="1" s="1"/>
  <c r="M45" i="1"/>
  <c r="L45" i="1"/>
  <c r="K45" i="1"/>
  <c r="J45" i="1"/>
  <c r="I45" i="1"/>
  <c r="H45" i="1"/>
  <c r="G45" i="1"/>
  <c r="F45" i="1"/>
  <c r="M44" i="1"/>
  <c r="L44" i="1"/>
  <c r="K44" i="1"/>
  <c r="J44" i="1"/>
  <c r="I44" i="1"/>
  <c r="H44" i="1"/>
  <c r="G44" i="1"/>
  <c r="F44" i="1"/>
  <c r="E44" i="1"/>
  <c r="F41" i="1"/>
  <c r="B41" i="1"/>
  <c r="B40" i="1"/>
  <c r="F39" i="1"/>
  <c r="C39" i="1"/>
  <c r="C50" i="1" s="1"/>
  <c r="K36" i="1"/>
  <c r="J36" i="1"/>
  <c r="I36" i="1"/>
  <c r="I37" i="1" s="1"/>
  <c r="H36" i="1"/>
  <c r="G36" i="1"/>
  <c r="F36" i="1"/>
  <c r="F37" i="1" s="1"/>
  <c r="E35" i="1"/>
  <c r="B37" i="1"/>
  <c r="L34" i="1"/>
  <c r="L37" i="1" s="1"/>
  <c r="E33" i="1"/>
  <c r="M32" i="1"/>
  <c r="K32" i="1"/>
  <c r="J32" i="1"/>
  <c r="H32" i="1"/>
  <c r="G32" i="1"/>
  <c r="E32" i="1"/>
  <c r="M26" i="1"/>
  <c r="L26" i="1"/>
  <c r="L27" i="1" s="1"/>
  <c r="K26" i="1"/>
  <c r="J26" i="1"/>
  <c r="I26" i="1"/>
  <c r="H26" i="1"/>
  <c r="M25" i="1"/>
  <c r="J25" i="1"/>
  <c r="H25" i="1"/>
  <c r="G25" i="1"/>
  <c r="M24" i="1"/>
  <c r="K24" i="1"/>
  <c r="J24" i="1"/>
  <c r="I24" i="1"/>
  <c r="G24" i="1"/>
  <c r="M19" i="1"/>
  <c r="L19" i="1"/>
  <c r="M18" i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D15" i="1"/>
  <c r="C15" i="1"/>
  <c r="B15" i="1"/>
  <c r="D14" i="1"/>
  <c r="N14" i="1" s="1"/>
  <c r="H13" i="1"/>
  <c r="G13" i="1"/>
  <c r="F13" i="1"/>
  <c r="D13" i="1"/>
  <c r="B13" i="1"/>
  <c r="I12" i="1"/>
  <c r="H12" i="1"/>
  <c r="M11" i="1"/>
  <c r="L11" i="1"/>
  <c r="K11" i="1"/>
  <c r="J11" i="1"/>
  <c r="I11" i="1"/>
  <c r="H11" i="1"/>
  <c r="G11" i="1"/>
  <c r="F11" i="1"/>
  <c r="E11" i="1"/>
  <c r="D11" i="1"/>
  <c r="C11" i="1"/>
  <c r="B11" i="1"/>
  <c r="E10" i="1"/>
  <c r="D10" i="1"/>
  <c r="C10" i="1"/>
  <c r="B10" i="1"/>
  <c r="F9" i="1"/>
  <c r="C9" i="1"/>
  <c r="B9" i="1"/>
  <c r="M8" i="1"/>
  <c r="L8" i="1"/>
  <c r="K8" i="1"/>
  <c r="J8" i="1"/>
  <c r="I8" i="1"/>
  <c r="H8" i="1"/>
  <c r="D8" i="1"/>
  <c r="C8" i="1"/>
  <c r="B8" i="1"/>
  <c r="G7" i="1"/>
  <c r="N7" i="1" s="1"/>
  <c r="J6" i="1"/>
  <c r="N6" i="1" s="1"/>
  <c r="F5" i="1"/>
  <c r="N5" i="1" s="1"/>
  <c r="M4" i="1"/>
  <c r="L4" i="1"/>
  <c r="K4" i="1"/>
  <c r="J4" i="1"/>
  <c r="I4" i="1"/>
  <c r="H4" i="1"/>
  <c r="G4" i="1"/>
  <c r="F4" i="1"/>
  <c r="M3" i="1"/>
  <c r="L3" i="1"/>
  <c r="J3" i="1"/>
  <c r="I3" i="1"/>
  <c r="H3" i="1"/>
  <c r="G3" i="1"/>
  <c r="I102" i="1" l="1"/>
  <c r="L102" i="1"/>
  <c r="B102" i="1"/>
  <c r="D102" i="1"/>
  <c r="H102" i="1"/>
  <c r="J102" i="1"/>
  <c r="C102" i="1"/>
  <c r="K102" i="1"/>
  <c r="E102" i="1"/>
  <c r="M102" i="1"/>
  <c r="F102" i="1"/>
  <c r="G102" i="1"/>
  <c r="N94" i="1"/>
  <c r="N99" i="1"/>
  <c r="N101" i="1"/>
  <c r="N98" i="1"/>
  <c r="N93" i="1"/>
  <c r="N100" i="1"/>
  <c r="N97" i="1"/>
  <c r="N92" i="1"/>
  <c r="G69" i="1"/>
  <c r="D69" i="1"/>
  <c r="J90" i="1"/>
  <c r="E90" i="1"/>
  <c r="I90" i="1"/>
  <c r="B90" i="1"/>
  <c r="C90" i="1"/>
  <c r="K90" i="1"/>
  <c r="D90" i="1"/>
  <c r="M90" i="1"/>
  <c r="F90" i="1"/>
  <c r="G90" i="1"/>
  <c r="L90" i="1"/>
  <c r="H90" i="1"/>
  <c r="N76" i="1"/>
  <c r="N81" i="1"/>
  <c r="N75" i="1"/>
  <c r="N78" i="1"/>
  <c r="N82" i="1"/>
  <c r="C60" i="1"/>
  <c r="N77" i="1"/>
  <c r="N84" i="1"/>
  <c r="N74" i="1"/>
  <c r="N80" i="1"/>
  <c r="N79" i="1"/>
  <c r="N83" i="1"/>
  <c r="N71" i="1"/>
  <c r="C69" i="1"/>
  <c r="F69" i="1"/>
  <c r="H60" i="1"/>
  <c r="L60" i="1"/>
  <c r="M69" i="1"/>
  <c r="J69" i="1"/>
  <c r="H69" i="1"/>
  <c r="I69" i="1"/>
  <c r="K69" i="1"/>
  <c r="E60" i="1"/>
  <c r="M60" i="1"/>
  <c r="L69" i="1"/>
  <c r="E69" i="1"/>
  <c r="N63" i="1"/>
  <c r="N68" i="1"/>
  <c r="N66" i="1"/>
  <c r="N65" i="1"/>
  <c r="N67" i="1"/>
  <c r="N62" i="1"/>
  <c r="E50" i="1"/>
  <c r="F60" i="1"/>
  <c r="B60" i="1"/>
  <c r="G60" i="1"/>
  <c r="I60" i="1"/>
  <c r="J60" i="1"/>
  <c r="K60" i="1"/>
  <c r="N59" i="1"/>
  <c r="N58" i="1"/>
  <c r="L50" i="1"/>
  <c r="N54" i="1"/>
  <c r="M50" i="1"/>
  <c r="N55" i="1"/>
  <c r="N57" i="1"/>
  <c r="H50" i="1"/>
  <c r="N53" i="1"/>
  <c r="K37" i="1"/>
  <c r="G50" i="1"/>
  <c r="N49" i="1"/>
  <c r="I50" i="1"/>
  <c r="N41" i="1"/>
  <c r="K50" i="1"/>
  <c r="N47" i="1"/>
  <c r="N48" i="1"/>
  <c r="F50" i="1"/>
  <c r="N40" i="1"/>
  <c r="B50" i="1"/>
  <c r="J50" i="1"/>
  <c r="M37" i="1"/>
  <c r="N45" i="1"/>
  <c r="N44" i="1"/>
  <c r="H37" i="1"/>
  <c r="J37" i="1"/>
  <c r="N39" i="1"/>
  <c r="E37" i="1"/>
  <c r="G37" i="1"/>
  <c r="I27" i="1"/>
  <c r="H27" i="1"/>
  <c r="K27" i="1"/>
  <c r="G27" i="1"/>
  <c r="J27" i="1"/>
  <c r="M27" i="1"/>
  <c r="N26" i="1"/>
  <c r="N25" i="1"/>
  <c r="N19" i="1"/>
  <c r="N9" i="1"/>
  <c r="N13" i="1"/>
  <c r="N18" i="1"/>
  <c r="N12" i="1"/>
  <c r="N8" i="1"/>
  <c r="N10" i="1"/>
  <c r="N11" i="1"/>
  <c r="N4" i="1"/>
  <c r="N15" i="1"/>
  <c r="N3" i="1"/>
  <c r="G16" i="1"/>
  <c r="G20" i="1" s="1"/>
  <c r="G29" i="1" s="1"/>
  <c r="J16" i="1"/>
  <c r="J20" i="1" s="1"/>
  <c r="K16" i="1"/>
  <c r="K20" i="1" s="1"/>
  <c r="C16" i="1"/>
  <c r="C20" i="1" s="1"/>
  <c r="C29" i="1" s="1"/>
  <c r="E16" i="1"/>
  <c r="E20" i="1" s="1"/>
  <c r="E29" i="1" s="1"/>
  <c r="L16" i="1"/>
  <c r="L20" i="1" s="1"/>
  <c r="L29" i="1" s="1"/>
  <c r="D16" i="1"/>
  <c r="D20" i="1" s="1"/>
  <c r="D29" i="1" s="1"/>
  <c r="I16" i="1"/>
  <c r="I20" i="1" s="1"/>
  <c r="B16" i="1"/>
  <c r="F16" i="1"/>
  <c r="F20" i="1" s="1"/>
  <c r="F29" i="1" s="1"/>
  <c r="H16" i="1"/>
  <c r="H20" i="1" s="1"/>
  <c r="M16" i="1"/>
  <c r="M20" i="1" s="1"/>
  <c r="M29" i="1" l="1"/>
  <c r="I29" i="1"/>
  <c r="J29" i="1"/>
  <c r="B20" i="1"/>
  <c r="B29" i="1" s="1"/>
  <c r="N16" i="1"/>
  <c r="N20" i="1" s="1"/>
  <c r="H29" i="1"/>
  <c r="K29" i="1"/>
  <c r="K104" i="1"/>
  <c r="C104" i="1"/>
  <c r="C106" i="1" s="1"/>
  <c r="I104" i="1"/>
  <c r="J104" i="1"/>
  <c r="H104" i="1"/>
  <c r="G104" i="1"/>
  <c r="D104" i="1"/>
  <c r="F104" i="1"/>
  <c r="B104" i="1"/>
  <c r="M104" i="1"/>
  <c r="L104" i="1"/>
  <c r="E104" i="1"/>
  <c r="E106" i="1" s="1"/>
  <c r="N102" i="1"/>
  <c r="N90" i="1"/>
  <c r="N69" i="1"/>
  <c r="N60" i="1"/>
  <c r="N50" i="1"/>
  <c r="N24" i="1"/>
  <c r="L106" i="1" l="1"/>
  <c r="F106" i="1"/>
  <c r="D106" i="1"/>
  <c r="B106" i="1"/>
  <c r="J106" i="1"/>
  <c r="K106" i="1"/>
  <c r="G106" i="1"/>
  <c r="H106" i="1"/>
  <c r="M106" i="1"/>
  <c r="I106" i="1"/>
  <c r="N32" i="1"/>
  <c r="N27" i="1"/>
  <c r="N29" i="1" s="1"/>
  <c r="N34" i="1" l="1"/>
  <c r="N33" i="1"/>
  <c r="N35" i="1" l="1"/>
  <c r="N36" i="1"/>
  <c r="N37" i="1" l="1"/>
  <c r="N104" i="1" s="1"/>
  <c r="N106" i="1" s="1"/>
</calcChain>
</file>

<file path=xl/sharedStrings.xml><?xml version="1.0" encoding="utf-8"?>
<sst xmlns="http://schemas.openxmlformats.org/spreadsheetml/2006/main" count="102" uniqueCount="102">
  <si>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</si>
  <si>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</si>
  <si>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</si>
  <si>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</si>
  <si>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</si>
  <si>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</si>
  <si>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</si>
  <si>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</si>
  <si>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</si>
  <si>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</si>
  <si>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</si>
  <si>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</si>
  <si>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Total</t>
  </si>
  <si>
    <t>Income</t>
  </si>
  <si>
    <t xml:space="preserve">   Other Income</t>
  </si>
  <si>
    <t xml:space="preserve">      Application Fee Income</t>
  </si>
  <si>
    <t xml:space="preserve">      Cleaning and Maintenance</t>
  </si>
  <si>
    <t xml:space="preserve">      Forfeit Income</t>
  </si>
  <si>
    <t xml:space="preserve">      Insurance Income</t>
  </si>
  <si>
    <t xml:space="preserve">      Late Fee Income</t>
  </si>
  <si>
    <t xml:space="preserve">      Laundry Income</t>
  </si>
  <si>
    <t xml:space="preserve">      Merchant Fee Income</t>
  </si>
  <si>
    <t xml:space="preserve">      Pet Fee Income</t>
  </si>
  <si>
    <t xml:space="preserve">      Reimbursement Income</t>
  </si>
  <si>
    <t xml:space="preserve">      Repair Income</t>
  </si>
  <si>
    <t xml:space="preserve">      Supplies &amp; Materials</t>
  </si>
  <si>
    <t xml:space="preserve">      Utility Income</t>
  </si>
  <si>
    <t xml:space="preserve">   Total Other Income</t>
  </si>
  <si>
    <t xml:space="preserve">   Rental Income</t>
  </si>
  <si>
    <t xml:space="preserve">   Sales</t>
  </si>
  <si>
    <t>Total Income</t>
  </si>
  <si>
    <t>Cost of Goods Sold</t>
  </si>
  <si>
    <t xml:space="preserve">   Cost of Goods Sold</t>
  </si>
  <si>
    <t xml:space="preserve">      COGS - Electricity</t>
  </si>
  <si>
    <t xml:space="preserve">      COGS - Gas</t>
  </si>
  <si>
    <t xml:space="preserve">      COGS - Water &amp; Sewer</t>
  </si>
  <si>
    <t xml:space="preserve">   Total Cost of Goods Sold</t>
  </si>
  <si>
    <t>Gross Profit</t>
  </si>
  <si>
    <t>Expenses</t>
  </si>
  <si>
    <t xml:space="preserve">   Advertising &amp; Marketing</t>
  </si>
  <si>
    <t xml:space="preserve">   Appliance</t>
  </si>
  <si>
    <t xml:space="preserve">   Ask My Accountant</t>
  </si>
  <si>
    <t xml:space="preserve">   Contractors</t>
  </si>
  <si>
    <t xml:space="preserve">      Security Patrols</t>
  </si>
  <si>
    <t xml:space="preserve">   Total Contractors</t>
  </si>
  <si>
    <t xml:space="preserve">   Dump Fee</t>
  </si>
  <si>
    <t xml:space="preserve">   Equipment Rental</t>
  </si>
  <si>
    <t xml:space="preserve">   Eviction Fee</t>
  </si>
  <si>
    <t xml:space="preserve">   General &amp; Admission Category</t>
  </si>
  <si>
    <t xml:space="preserve">      Bank Charges &amp; Fees</t>
  </si>
  <si>
    <t xml:space="preserve">      Bookkeeping</t>
  </si>
  <si>
    <t xml:space="preserve">      Gift</t>
  </si>
  <si>
    <t xml:space="preserve">      Office Software</t>
  </si>
  <si>
    <t xml:space="preserve">      Office Supplies</t>
  </si>
  <si>
    <t xml:space="preserve">      Yardi Breeze</t>
  </si>
  <si>
    <t xml:space="preserve">   Total General &amp; Admission Category</t>
  </si>
  <si>
    <t xml:space="preserve">   Insurance</t>
  </si>
  <si>
    <t xml:space="preserve">   Lawn Care/Landscaping</t>
  </si>
  <si>
    <t xml:space="preserve">   Leasing Commission Fees</t>
  </si>
  <si>
    <t xml:space="preserve">   Legal &amp; Professional Services</t>
  </si>
  <si>
    <t xml:space="preserve">      Accounting</t>
  </si>
  <si>
    <t xml:space="preserve">      Legal</t>
  </si>
  <si>
    <t xml:space="preserve">   Total Legal &amp; Professional Services</t>
  </si>
  <si>
    <t xml:space="preserve">   Management Fees</t>
  </si>
  <si>
    <t xml:space="preserve">   New Tenant Placement Fee</t>
  </si>
  <si>
    <t xml:space="preserve">   Payroll Expenses</t>
  </si>
  <si>
    <t xml:space="preserve">      Payroll Taxes</t>
  </si>
  <si>
    <t xml:space="preserve">      Salaries and wages</t>
  </si>
  <si>
    <t xml:space="preserve">      Worker's Compensation</t>
  </si>
  <si>
    <t xml:space="preserve">   Total Payroll Expenses</t>
  </si>
  <si>
    <t xml:space="preserve">   Property Tax</t>
  </si>
  <si>
    <t xml:space="preserve">   Reimbursable Expenses</t>
  </si>
  <si>
    <t xml:space="preserve">   Repairs &amp; Maintenance</t>
  </si>
  <si>
    <t xml:space="preserve">      Appliance Parts</t>
  </si>
  <si>
    <t xml:space="preserve">      Carpet Cleaning</t>
  </si>
  <si>
    <t xml:space="preserve">      Cleaning</t>
  </si>
  <si>
    <t xml:space="preserve">      Electrical</t>
  </si>
  <si>
    <t xml:space="preserve">      Garbage Disposal</t>
  </si>
  <si>
    <t xml:space="preserve">      HVAC Parts</t>
  </si>
  <si>
    <t xml:space="preserve">      Keys &amp; Locks</t>
  </si>
  <si>
    <t xml:space="preserve">      Paint &amp; Supplies</t>
  </si>
  <si>
    <t xml:space="preserve">      Pest Control</t>
  </si>
  <si>
    <t xml:space="preserve">      Plumbing</t>
  </si>
  <si>
    <t xml:space="preserve">      Replacement Costs</t>
  </si>
  <si>
    <t xml:space="preserve">      Replenishable Supplies</t>
  </si>
  <si>
    <t xml:space="preserve">      Resurfacing</t>
  </si>
  <si>
    <t xml:space="preserve">      Safety/Security</t>
  </si>
  <si>
    <t xml:space="preserve">      Water Extraction</t>
  </si>
  <si>
    <t xml:space="preserve">   Total Repairs &amp; Maintenance</t>
  </si>
  <si>
    <t xml:space="preserve">   Supplies &amp; Materials</t>
  </si>
  <si>
    <t xml:space="preserve">   Training and Education</t>
  </si>
  <si>
    <t xml:space="preserve">   Travel</t>
  </si>
  <si>
    <t xml:space="preserve">   Utilities</t>
  </si>
  <si>
    <t xml:space="preserve">      Electric</t>
  </si>
  <si>
    <t xml:space="preserve">      Gas</t>
  </si>
  <si>
    <t xml:space="preserve">      Phone/Internet</t>
  </si>
  <si>
    <t xml:space="preserve">      Security System</t>
  </si>
  <si>
    <t xml:space="preserve">      Water &amp; Sewer</t>
  </si>
  <si>
    <t xml:space="preserve">   Total Utilities</t>
  </si>
  <si>
    <t>Total Expenses</t>
  </si>
  <si>
    <t>Net Operating Income</t>
  </si>
  <si>
    <t>Tuesday, Oct 17, 2023 09:39:13 PM GMT-7 - Accrual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</si>
</sst>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5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">
    <xf numFmtId="0" fontId="0" fillId="0" borderId="0"/>
    <xf numFmtId="0" fontId="4" fillId="0" borderId="4" applyNumberFormat="0" applyFill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165" fontId="1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horizontal="right" wrapText="1"/>
    </xf>
    <xf numFmtId="0" fontId="4" fillId="0" borderId="4" xfId="1" applyAlignment="1">
      <alignment horizontal="left" wrapText="1"/>
    </xf>
    <xf numFmtId="165" fontId="4" fillId="0" borderId="4" xfId="1" applyNumberFormat="1" applyAlignment="1">
      <alignment horizontal="right" wrapText="1"/>
    </xf>
    <xf numFmtId="164" fontId="4" fillId="0" borderId="4" xfId="1" applyNumberFormat="1" applyAlignment="1">
      <alignment horizontal="right" wrapText="1"/>
    </xf>
    <xf numFmtId="0" fontId="4" fillId="0" borderId="4" xfId="1"/>
    <xf numFmtId="0" fontId="4" fillId="0" borderId="4" xfId="1" applyFill="1" applyAlignment="1">
      <alignment horizontal="left" wrapText="1"/>
    </xf>
    <xf numFmtId="165" fontId="4" fillId="0" borderId="4" xfId="1" applyNumberFormat="1" applyFill="1" applyAlignment="1">
      <alignment horizontal="right" wrapText="1"/>
    </xf>
    <xf numFmtId="164" fontId="4" fillId="0" borderId="4" xfId="1" applyNumberFormat="1" applyFill="1" applyAlignment="1">
      <alignment horizontal="right" wrapText="1"/>
    </xf>
    <xf numFmtId="0" fontId="4" fillId="0" borderId="4" xfId="1" applyFill="1"/>
    <xf numFmtId="0" fontId="2" fillId="0" borderId="0" xfId="0" applyFont="1" applyAlignment="1">
      <alignment horizontal="center"/>
    </xf>
    <xf numFmtId="0" fontId="2" fillId="0" borderId="0" xfId="0" applyFont="1"/>
    <xf numFmtId="165" fontId="1" fillId="0" borderId="2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Alignment="1">
      <alignment horizontal="right"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workbookViewId="0">
      <pane ySplit="1" topLeftCell="A87" activePane="bottomLeft" state="frozen"/>
      <selection pane="bottomLeft" activeCell="E104" sqref="E104"/>
    </sheetView>
  </sheetViews>
  <sheetFormatPr defaultColWidth="9.109375" defaultRowHeight="13.8" x14ac:dyDescent="0.3"/>
  <cols>
    <col min="1" max="1" width="31" style="2" bestFit="1" customWidth="1"/>
    <col min="2" max="4" width="10.88671875" style="2" bestFit="1" customWidth="1"/>
    <col min="5" max="5" width="11.44140625" style="2" bestFit="1" customWidth="1"/>
    <col min="6" max="12" width="10.88671875" style="2" bestFit="1" customWidth="1"/>
    <col min="13" max="13" width="11.5546875" style="2" bestFit="1" customWidth="1"/>
    <col min="14" max="14" width="11.88671875" style="2" bestFit="1" customWidth="1"/>
    <col min="15" max="16384" width="9.109375" style="2"/>
  </cols>
  <sheetData>
    <row r="1" spans="1:14" customFormat="1" ht="14.4" x14ac:dyDescent="0.3">
      <c r="A1" s="1"/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</row>
    <row r="2" spans="1:14" x14ac:dyDescent="0.3">
      <c r="A2" s="3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3">
      <c r="A3" s="3" t="s">
        <v>14</v>
      </c>
      <c r="B3" s="4"/>
      <c r="C3" s="4"/>
      <c r="D3" s="4"/>
      <c r="E3" s="4"/>
      <c r="F3" s="4"/>
      <c r="G3" s="5">
        <f>250</f>
        <v>250</v>
      </c>
      <c r="H3" s="5">
        <f>50</f>
        <v>50</v>
      </c>
      <c r="I3" s="5">
        <f>850</f>
        <v>850</v>
      </c>
      <c r="J3" s="5">
        <f>-80.81</f>
        <v>-80.81</v>
      </c>
      <c r="K3" s="4"/>
      <c r="L3" s="5">
        <f>1670</f>
        <v>1670</v>
      </c>
      <c r="M3" s="5">
        <f>750</f>
        <v>750</v>
      </c>
      <c r="N3" s="5">
        <f t="shared" ref="N3:N16" si="0">SUM(B3:M3)</f>
        <v>3489.19</v>
      </c>
    </row>
    <row r="4" spans="1:14" x14ac:dyDescent="0.3">
      <c r="A4" s="3" t="s">
        <v>15</v>
      </c>
      <c r="B4" s="4"/>
      <c r="C4" s="4"/>
      <c r="D4" s="4"/>
      <c r="E4" s="4"/>
      <c r="F4" s="5">
        <f>35</f>
        <v>35</v>
      </c>
      <c r="G4" s="5">
        <f>210</f>
        <v>210</v>
      </c>
      <c r="H4" s="5">
        <f>140</f>
        <v>140</v>
      </c>
      <c r="I4" s="5">
        <f>140</f>
        <v>140</v>
      </c>
      <c r="J4" s="5">
        <f>175</f>
        <v>175</v>
      </c>
      <c r="K4" s="5">
        <f>210</f>
        <v>210</v>
      </c>
      <c r="L4" s="5">
        <f>70</f>
        <v>70</v>
      </c>
      <c r="M4" s="5">
        <f>70</f>
        <v>70</v>
      </c>
      <c r="N4" s="5">
        <f t="shared" si="0"/>
        <v>1050</v>
      </c>
    </row>
    <row r="5" spans="1:14" x14ac:dyDescent="0.3">
      <c r="A5" s="3" t="s">
        <v>16</v>
      </c>
      <c r="B5" s="4"/>
      <c r="C5" s="4"/>
      <c r="D5" s="4"/>
      <c r="E5" s="4"/>
      <c r="F5" s="5">
        <f>500</f>
        <v>500</v>
      </c>
      <c r="G5" s="4"/>
      <c r="H5" s="4"/>
      <c r="I5" s="4"/>
      <c r="J5" s="4"/>
      <c r="K5" s="4"/>
      <c r="L5" s="4"/>
      <c r="M5" s="4"/>
      <c r="N5" s="5">
        <f t="shared" si="0"/>
        <v>500</v>
      </c>
    </row>
    <row r="6" spans="1:14" x14ac:dyDescent="0.3">
      <c r="A6" s="3" t="s">
        <v>17</v>
      </c>
      <c r="B6" s="4"/>
      <c r="C6" s="4"/>
      <c r="D6" s="4"/>
      <c r="E6" s="4"/>
      <c r="F6" s="4"/>
      <c r="G6" s="4"/>
      <c r="H6" s="4"/>
      <c r="I6" s="4"/>
      <c r="J6" s="5">
        <f>2270.84</f>
        <v>2270.84</v>
      </c>
      <c r="K6" s="4"/>
      <c r="L6" s="4"/>
      <c r="M6" s="4"/>
      <c r="N6" s="5">
        <f t="shared" si="0"/>
        <v>2270.84</v>
      </c>
    </row>
    <row r="7" spans="1:14" x14ac:dyDescent="0.3">
      <c r="A7" s="3" t="s">
        <v>18</v>
      </c>
      <c r="B7" s="4"/>
      <c r="C7" s="4"/>
      <c r="D7" s="4"/>
      <c r="E7" s="4"/>
      <c r="F7" s="4"/>
      <c r="G7" s="5">
        <f>724</f>
        <v>724</v>
      </c>
      <c r="H7" s="4"/>
      <c r="I7" s="4"/>
      <c r="J7" s="4"/>
      <c r="K7" s="4"/>
      <c r="L7" s="4"/>
      <c r="M7" s="4"/>
      <c r="N7" s="5">
        <f t="shared" si="0"/>
        <v>724</v>
      </c>
    </row>
    <row r="8" spans="1:14" x14ac:dyDescent="0.3">
      <c r="A8" s="3" t="s">
        <v>19</v>
      </c>
      <c r="B8" s="5">
        <f>490</f>
        <v>490</v>
      </c>
      <c r="C8" s="5">
        <f>250</f>
        <v>250</v>
      </c>
      <c r="D8" s="5">
        <f>25</f>
        <v>25</v>
      </c>
      <c r="E8" s="4"/>
      <c r="F8" s="4"/>
      <c r="G8" s="4"/>
      <c r="H8" s="5">
        <f>325</f>
        <v>325</v>
      </c>
      <c r="I8" s="5">
        <f>500</f>
        <v>500</v>
      </c>
      <c r="J8" s="5">
        <f>450</f>
        <v>450</v>
      </c>
      <c r="K8" s="5">
        <f>179.78</f>
        <v>179.78</v>
      </c>
      <c r="L8" s="5">
        <f>350</f>
        <v>350</v>
      </c>
      <c r="M8" s="5">
        <f>375</f>
        <v>375</v>
      </c>
      <c r="N8" s="5">
        <f t="shared" si="0"/>
        <v>2944.78</v>
      </c>
    </row>
    <row r="9" spans="1:14" x14ac:dyDescent="0.3">
      <c r="A9" s="3" t="s">
        <v>20</v>
      </c>
      <c r="B9" s="5">
        <f>110.42</f>
        <v>110.42</v>
      </c>
      <c r="C9" s="5">
        <f>50</f>
        <v>50</v>
      </c>
      <c r="D9" s="4"/>
      <c r="E9" s="4"/>
      <c r="F9" s="5">
        <f>50</f>
        <v>50</v>
      </c>
      <c r="G9" s="4"/>
      <c r="H9" s="4"/>
      <c r="I9" s="4"/>
      <c r="J9" s="4"/>
      <c r="K9" s="4"/>
      <c r="L9" s="4"/>
      <c r="M9" s="4"/>
      <c r="N9" s="5">
        <f t="shared" si="0"/>
        <v>210.42000000000002</v>
      </c>
    </row>
    <row r="10" spans="1:14" x14ac:dyDescent="0.3">
      <c r="A10" s="3" t="s">
        <v>21</v>
      </c>
      <c r="B10" s="5">
        <f>147.2</f>
        <v>147.19999999999999</v>
      </c>
      <c r="C10" s="5">
        <f>89.22</f>
        <v>89.22</v>
      </c>
      <c r="D10" s="5">
        <f>99.87</f>
        <v>99.87</v>
      </c>
      <c r="E10" s="5">
        <f>25.45</f>
        <v>25.45</v>
      </c>
      <c r="F10" s="4"/>
      <c r="G10" s="4"/>
      <c r="H10" s="4"/>
      <c r="I10" s="4"/>
      <c r="J10" s="4"/>
      <c r="K10" s="4"/>
      <c r="L10" s="4"/>
      <c r="M10" s="4"/>
      <c r="N10" s="5">
        <f t="shared" si="0"/>
        <v>361.73999999999995</v>
      </c>
    </row>
    <row r="11" spans="1:14" x14ac:dyDescent="0.3">
      <c r="A11" s="3" t="s">
        <v>22</v>
      </c>
      <c r="B11" s="5">
        <f>370</f>
        <v>370</v>
      </c>
      <c r="C11" s="5">
        <f>170</f>
        <v>170</v>
      </c>
      <c r="D11" s="5">
        <f>150</f>
        <v>150</v>
      </c>
      <c r="E11" s="5">
        <f>20</f>
        <v>20</v>
      </c>
      <c r="F11" s="5">
        <f>330</f>
        <v>330</v>
      </c>
      <c r="G11" s="5">
        <f>225</f>
        <v>225</v>
      </c>
      <c r="H11" s="5">
        <f>225</f>
        <v>225</v>
      </c>
      <c r="I11" s="5">
        <f>190</f>
        <v>190</v>
      </c>
      <c r="J11" s="5">
        <f>167.42</f>
        <v>167.42</v>
      </c>
      <c r="K11" s="5">
        <f>165</f>
        <v>165</v>
      </c>
      <c r="L11" s="5">
        <f>1115</f>
        <v>1115</v>
      </c>
      <c r="M11" s="5">
        <f>260</f>
        <v>260</v>
      </c>
      <c r="N11" s="5">
        <f t="shared" si="0"/>
        <v>3387.42</v>
      </c>
    </row>
    <row r="12" spans="1:14" x14ac:dyDescent="0.3">
      <c r="A12" s="3" t="s">
        <v>23</v>
      </c>
      <c r="B12" s="4"/>
      <c r="C12" s="4"/>
      <c r="D12" s="4"/>
      <c r="E12" s="4"/>
      <c r="F12" s="4"/>
      <c r="G12" s="4"/>
      <c r="H12" s="5">
        <f>462.92</f>
        <v>462.92</v>
      </c>
      <c r="I12" s="5">
        <f>240.52</f>
        <v>240.52</v>
      </c>
      <c r="J12" s="4"/>
      <c r="K12" s="4"/>
      <c r="L12" s="4"/>
      <c r="M12" s="4"/>
      <c r="N12" s="5">
        <f t="shared" si="0"/>
        <v>703.44</v>
      </c>
    </row>
    <row r="13" spans="1:14" x14ac:dyDescent="0.3">
      <c r="A13" s="3" t="s">
        <v>24</v>
      </c>
      <c r="B13" s="5">
        <f>233.39</f>
        <v>233.39</v>
      </c>
      <c r="C13" s="4"/>
      <c r="D13" s="5">
        <f>100</f>
        <v>100</v>
      </c>
      <c r="E13" s="4"/>
      <c r="F13" s="5">
        <f>3175</f>
        <v>3175</v>
      </c>
      <c r="G13" s="5">
        <f>44.95</f>
        <v>44.95</v>
      </c>
      <c r="H13" s="5">
        <f>44.95</f>
        <v>44.95</v>
      </c>
      <c r="I13" s="4"/>
      <c r="J13" s="4"/>
      <c r="K13" s="4"/>
      <c r="L13" s="4"/>
      <c r="M13" s="4"/>
      <c r="N13" s="5">
        <f t="shared" si="0"/>
        <v>3598.2899999999995</v>
      </c>
    </row>
    <row r="14" spans="1:14" x14ac:dyDescent="0.3">
      <c r="A14" s="3" t="s">
        <v>25</v>
      </c>
      <c r="B14" s="4"/>
      <c r="C14" s="4"/>
      <c r="D14" s="5">
        <f>10</f>
        <v>10</v>
      </c>
      <c r="E14" s="4"/>
      <c r="F14" s="4"/>
      <c r="G14" s="4"/>
      <c r="H14" s="4"/>
      <c r="I14" s="4"/>
      <c r="J14" s="4"/>
      <c r="K14" s="4"/>
      <c r="L14" s="4"/>
      <c r="M14" s="4"/>
      <c r="N14" s="5">
        <f t="shared" si="0"/>
        <v>10</v>
      </c>
    </row>
    <row r="15" spans="1:14" x14ac:dyDescent="0.3">
      <c r="A15" s="3" t="s">
        <v>26</v>
      </c>
      <c r="B15" s="5">
        <f>1411.76</f>
        <v>1411.76</v>
      </c>
      <c r="C15" s="5">
        <f>421.35</f>
        <v>421.35</v>
      </c>
      <c r="D15" s="5">
        <f>349.9</f>
        <v>349.9</v>
      </c>
      <c r="E15" s="4"/>
      <c r="F15" s="4"/>
      <c r="G15" s="5">
        <f>506.02</f>
        <v>506.02</v>
      </c>
      <c r="H15" s="5">
        <f>88.66</f>
        <v>88.66</v>
      </c>
      <c r="I15" s="5">
        <f>1040.39</f>
        <v>1040.3900000000001</v>
      </c>
      <c r="J15" s="5">
        <f>240.59</f>
        <v>240.59</v>
      </c>
      <c r="K15" s="5">
        <f>968.18</f>
        <v>968.18</v>
      </c>
      <c r="L15" s="5">
        <f>-181.54</f>
        <v>-181.54</v>
      </c>
      <c r="M15" s="5">
        <f>760.26</f>
        <v>760.26</v>
      </c>
      <c r="N15" s="5">
        <f t="shared" si="0"/>
        <v>5605.5700000000006</v>
      </c>
    </row>
    <row r="16" spans="1:14" s="17" customFormat="1" ht="15" thickBot="1" x14ac:dyDescent="0.35">
      <c r="A16" s="14" t="s">
        <v>27</v>
      </c>
      <c r="B16" s="15">
        <f t="shared" ref="B16:M16" si="1">SUM(B3:B15)</f>
        <v>2762.7699999999995</v>
      </c>
      <c r="C16" s="15">
        <f t="shared" si="1"/>
        <v>980.57</v>
      </c>
      <c r="D16" s="15">
        <f t="shared" si="1"/>
        <v>734.77</v>
      </c>
      <c r="E16" s="15">
        <f t="shared" si="1"/>
        <v>45.45</v>
      </c>
      <c r="F16" s="15">
        <f t="shared" si="1"/>
        <v>4090</v>
      </c>
      <c r="G16" s="15">
        <f t="shared" si="1"/>
        <v>1959.97</v>
      </c>
      <c r="H16" s="15">
        <f t="shared" si="1"/>
        <v>1336.5300000000002</v>
      </c>
      <c r="I16" s="15">
        <f t="shared" si="1"/>
        <v>2960.91</v>
      </c>
      <c r="J16" s="15">
        <f t="shared" si="1"/>
        <v>3223.0400000000004</v>
      </c>
      <c r="K16" s="15">
        <f t="shared" si="1"/>
        <v>1522.96</v>
      </c>
      <c r="L16" s="15">
        <f t="shared" si="1"/>
        <v>3023.46</v>
      </c>
      <c r="M16" s="15">
        <f t="shared" si="1"/>
        <v>2215.2600000000002</v>
      </c>
      <c r="N16" s="5">
        <f t="shared" si="0"/>
        <v>24855.689999999995</v>
      </c>
    </row>
    <row r="17" spans="1:14" ht="14.4" thickTop="1" x14ac:dyDescent="0.3">
      <c r="A17" s="3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5"/>
    </row>
    <row r="18" spans="1:14" x14ac:dyDescent="0.3">
      <c r="A18" s="3" t="s">
        <v>28</v>
      </c>
      <c r="B18" s="5">
        <f>26447.84</f>
        <v>26447.84</v>
      </c>
      <c r="C18" s="5">
        <f>17323.29</f>
        <v>17323.29</v>
      </c>
      <c r="D18" s="5">
        <f>14924.16</f>
        <v>14924.16</v>
      </c>
      <c r="E18" s="5">
        <f>16287.34</f>
        <v>16287.34</v>
      </c>
      <c r="F18" s="5">
        <f>38784.39</f>
        <v>38784.39</v>
      </c>
      <c r="G18" s="5">
        <f>20659.8</f>
        <v>20659.8</v>
      </c>
      <c r="H18" s="5">
        <f>23524.84</f>
        <v>23524.84</v>
      </c>
      <c r="I18" s="5">
        <f>26100</f>
        <v>26100</v>
      </c>
      <c r="J18" s="5">
        <f>27616.78</f>
        <v>27616.78</v>
      </c>
      <c r="K18" s="5">
        <f>27659</f>
        <v>27659</v>
      </c>
      <c r="L18" s="5">
        <f>29640.97</f>
        <v>29640.97</v>
      </c>
      <c r="M18" s="5">
        <f>29542.19</f>
        <v>29542.19</v>
      </c>
      <c r="N18" s="5">
        <f>SUM(B18:M18)</f>
        <v>298510.60000000003</v>
      </c>
    </row>
    <row r="19" spans="1:14" x14ac:dyDescent="0.3">
      <c r="A19" s="3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5">
        <f>35</f>
        <v>35</v>
      </c>
      <c r="M19" s="5">
        <f>178.93</f>
        <v>178.93</v>
      </c>
      <c r="N19" s="5">
        <f>SUM(L19:M19)</f>
        <v>213.93</v>
      </c>
    </row>
    <row r="20" spans="1:14" x14ac:dyDescent="0.3">
      <c r="A20" s="3" t="s">
        <v>30</v>
      </c>
      <c r="B20" s="6">
        <f>SUM(B18:B19)+B16</f>
        <v>29210.61</v>
      </c>
      <c r="C20" s="6">
        <f t="shared" ref="C20:N20" si="2">SUM(C18:C19)+C16</f>
        <v>18303.86</v>
      </c>
      <c r="D20" s="6">
        <f t="shared" si="2"/>
        <v>15658.93</v>
      </c>
      <c r="E20" s="6">
        <f t="shared" si="2"/>
        <v>16332.79</v>
      </c>
      <c r="F20" s="6">
        <f t="shared" si="2"/>
        <v>42874.39</v>
      </c>
      <c r="G20" s="6">
        <f t="shared" si="2"/>
        <v>22619.77</v>
      </c>
      <c r="H20" s="6">
        <f t="shared" si="2"/>
        <v>24861.37</v>
      </c>
      <c r="I20" s="6">
        <f t="shared" si="2"/>
        <v>29060.91</v>
      </c>
      <c r="J20" s="6">
        <f t="shared" si="2"/>
        <v>30839.82</v>
      </c>
      <c r="K20" s="6">
        <f t="shared" si="2"/>
        <v>29181.96</v>
      </c>
      <c r="L20" s="6">
        <f t="shared" si="2"/>
        <v>32699.43</v>
      </c>
      <c r="M20" s="6">
        <f t="shared" si="2"/>
        <v>31936.379999999997</v>
      </c>
      <c r="N20" s="6">
        <f t="shared" si="2"/>
        <v>323580.22000000003</v>
      </c>
    </row>
    <row r="21" spans="1:14" x14ac:dyDescent="0.3">
      <c r="A21" s="3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3">
      <c r="A22" s="3" t="s">
        <v>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3">
      <c r="A23" s="3" t="s">
        <v>32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</row>
    <row r="24" spans="1:14" x14ac:dyDescent="0.3">
      <c r="A24" s="3" t="s">
        <v>33</v>
      </c>
      <c r="B24" s="4"/>
      <c r="C24" s="4"/>
      <c r="D24" s="4"/>
      <c r="E24" s="4"/>
      <c r="F24" s="4"/>
      <c r="G24" s="5">
        <f>112.29</f>
        <v>112.29</v>
      </c>
      <c r="H24" s="4"/>
      <c r="I24" s="5">
        <f>254.97</f>
        <v>254.97</v>
      </c>
      <c r="J24" s="5">
        <f>133.14</f>
        <v>133.13999999999999</v>
      </c>
      <c r="K24" s="5">
        <f>294.38</f>
        <v>294.38</v>
      </c>
      <c r="L24" s="4"/>
      <c r="M24" s="5">
        <f>396.65</f>
        <v>396.65</v>
      </c>
      <c r="N24" s="5">
        <f>SUM(B24:M24)</f>
        <v>1191.4299999999998</v>
      </c>
    </row>
    <row r="25" spans="1:14" x14ac:dyDescent="0.3">
      <c r="A25" s="3" t="s">
        <v>34</v>
      </c>
      <c r="B25" s="4"/>
      <c r="C25" s="4"/>
      <c r="D25" s="4"/>
      <c r="E25" s="4"/>
      <c r="F25" s="4"/>
      <c r="G25" s="5">
        <f>426.8</f>
        <v>426.8</v>
      </c>
      <c r="H25" s="5">
        <f>400.41</f>
        <v>400.41</v>
      </c>
      <c r="I25" s="4"/>
      <c r="J25" s="5">
        <f>540.62</f>
        <v>540.62</v>
      </c>
      <c r="K25" s="4"/>
      <c r="L25" s="4"/>
      <c r="M25" s="5">
        <f>103.26</f>
        <v>103.26</v>
      </c>
      <c r="N25" s="5">
        <f>SUM(B25:M25)</f>
        <v>1471.09</v>
      </c>
    </row>
    <row r="26" spans="1:14" x14ac:dyDescent="0.3">
      <c r="A26" s="3" t="s">
        <v>35</v>
      </c>
      <c r="B26" s="4"/>
      <c r="C26" s="4"/>
      <c r="D26" s="4"/>
      <c r="E26" s="4"/>
      <c r="F26" s="4"/>
      <c r="G26" s="4"/>
      <c r="H26" s="5">
        <f>237</f>
        <v>237</v>
      </c>
      <c r="I26" s="5">
        <f>301.87</f>
        <v>301.87</v>
      </c>
      <c r="J26" s="5">
        <f>228.69</f>
        <v>228.69</v>
      </c>
      <c r="K26" s="5">
        <f>219.96</f>
        <v>219.96</v>
      </c>
      <c r="L26" s="5">
        <f>151.05</f>
        <v>151.05000000000001</v>
      </c>
      <c r="M26" s="5">
        <f>150.73</f>
        <v>150.72999999999999</v>
      </c>
      <c r="N26" s="5">
        <f>SUM(B26:M26)</f>
        <v>1289.3</v>
      </c>
    </row>
    <row r="27" spans="1:14" x14ac:dyDescent="0.3">
      <c r="A27" s="3" t="s">
        <v>36</v>
      </c>
      <c r="B27" s="6">
        <f t="shared" ref="B27:M27" si="3">SUM(B24:B26)</f>
        <v>0</v>
      </c>
      <c r="C27" s="6">
        <f t="shared" si="3"/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6">
        <f t="shared" si="3"/>
        <v>539.09</v>
      </c>
      <c r="H27" s="6">
        <f t="shared" si="3"/>
        <v>637.41000000000008</v>
      </c>
      <c r="I27" s="6">
        <f t="shared" si="3"/>
        <v>556.84</v>
      </c>
      <c r="J27" s="6">
        <f t="shared" si="3"/>
        <v>902.45</v>
      </c>
      <c r="K27" s="6">
        <f t="shared" si="3"/>
        <v>514.34</v>
      </c>
      <c r="L27" s="6">
        <f t="shared" si="3"/>
        <v>151.05000000000001</v>
      </c>
      <c r="M27" s="6">
        <f t="shared" si="3"/>
        <v>650.64</v>
      </c>
      <c r="N27" s="5">
        <f>SUM(B27:M27)</f>
        <v>3951.82</v>
      </c>
    </row>
    <row r="28" spans="1:14" x14ac:dyDescent="0.3">
      <c r="A28" s="3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5"/>
    </row>
    <row r="29" spans="1:14" s="17" customFormat="1" ht="15" thickBot="1" x14ac:dyDescent="0.35">
      <c r="A29" s="14" t="s">
        <v>37</v>
      </c>
      <c r="B29" s="15">
        <f>B20-B27</f>
        <v>29210.61</v>
      </c>
      <c r="C29" s="15">
        <f t="shared" ref="C29:N29" si="4">C20-C27</f>
        <v>18303.86</v>
      </c>
      <c r="D29" s="15">
        <f t="shared" si="4"/>
        <v>15658.93</v>
      </c>
      <c r="E29" s="15">
        <f t="shared" si="4"/>
        <v>16332.79</v>
      </c>
      <c r="F29" s="15">
        <f t="shared" si="4"/>
        <v>42874.39</v>
      </c>
      <c r="G29" s="15">
        <f t="shared" si="4"/>
        <v>22080.68</v>
      </c>
      <c r="H29" s="15">
        <f t="shared" si="4"/>
        <v>24223.96</v>
      </c>
      <c r="I29" s="15">
        <f t="shared" si="4"/>
        <v>28504.07</v>
      </c>
      <c r="J29" s="15">
        <f t="shared" si="4"/>
        <v>29937.37</v>
      </c>
      <c r="K29" s="15">
        <f t="shared" si="4"/>
        <v>28667.62</v>
      </c>
      <c r="L29" s="15">
        <f t="shared" si="4"/>
        <v>32548.38</v>
      </c>
      <c r="M29" s="15">
        <f t="shared" si="4"/>
        <v>31285.739999999998</v>
      </c>
      <c r="N29" s="15">
        <f t="shared" si="4"/>
        <v>319628.40000000002</v>
      </c>
    </row>
    <row r="30" spans="1:14" ht="14.4" thickTop="1" x14ac:dyDescent="0.3">
      <c r="A30" s="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5"/>
    </row>
    <row r="31" spans="1:14" x14ac:dyDescent="0.3">
      <c r="A31" s="3" t="s">
        <v>38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3">
      <c r="A32" s="3" t="s">
        <v>39</v>
      </c>
      <c r="B32" s="4"/>
      <c r="C32" s="4"/>
      <c r="D32" s="4"/>
      <c r="E32" s="5">
        <f>147.35</f>
        <v>147.35</v>
      </c>
      <c r="F32" s="4"/>
      <c r="G32" s="5">
        <f>29.99</f>
        <v>29.99</v>
      </c>
      <c r="H32" s="5">
        <f>100.14</f>
        <v>100.14</v>
      </c>
      <c r="I32" s="4"/>
      <c r="J32" s="5">
        <f>77.4</f>
        <v>77.400000000000006</v>
      </c>
      <c r="K32" s="5">
        <f>1160</f>
        <v>1160</v>
      </c>
      <c r="L32" s="4"/>
      <c r="M32" s="5">
        <f>32</f>
        <v>32</v>
      </c>
      <c r="N32" s="5">
        <f t="shared" ref="N32:N37" si="5">SUM(B32:M32)</f>
        <v>1546.88</v>
      </c>
    </row>
    <row r="33" spans="1:14" x14ac:dyDescent="0.3">
      <c r="A33" s="3" t="s">
        <v>40</v>
      </c>
      <c r="B33" s="4"/>
      <c r="C33" s="4"/>
      <c r="D33" s="4"/>
      <c r="E33" s="5">
        <f>398.8</f>
        <v>398.8</v>
      </c>
      <c r="F33" s="4"/>
      <c r="G33" s="4"/>
      <c r="H33" s="4"/>
      <c r="I33" s="4"/>
      <c r="J33" s="4"/>
      <c r="K33" s="4"/>
      <c r="L33" s="4"/>
      <c r="M33" s="4"/>
      <c r="N33" s="5">
        <f t="shared" si="5"/>
        <v>398.8</v>
      </c>
    </row>
    <row r="34" spans="1:14" x14ac:dyDescent="0.3">
      <c r="A34" s="3" t="s">
        <v>41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5">
        <f>60</f>
        <v>60</v>
      </c>
      <c r="M34" s="4"/>
      <c r="N34" s="5">
        <f t="shared" si="5"/>
        <v>60</v>
      </c>
    </row>
    <row r="35" spans="1:14" x14ac:dyDescent="0.3">
      <c r="A35" s="3" t="s">
        <v>42</v>
      </c>
      <c r="B35" s="4"/>
      <c r="C35" s="4"/>
      <c r="D35" s="4"/>
      <c r="E35" s="21">
        <f>3552.81</f>
        <v>3552.81</v>
      </c>
      <c r="F35" s="4"/>
      <c r="G35" s="4"/>
      <c r="H35" s="4"/>
      <c r="I35" s="4"/>
      <c r="J35" s="4"/>
      <c r="K35" s="4"/>
      <c r="L35" s="4"/>
      <c r="M35" s="4"/>
      <c r="N35" s="5">
        <f t="shared" si="5"/>
        <v>3552.81</v>
      </c>
    </row>
    <row r="36" spans="1:14" x14ac:dyDescent="0.3">
      <c r="A36" s="3" t="s">
        <v>43</v>
      </c>
      <c r="B36" s="4"/>
      <c r="C36" s="4"/>
      <c r="D36" s="4"/>
      <c r="E36" s="4"/>
      <c r="F36" s="5">
        <f>535.5</f>
        <v>535.5</v>
      </c>
      <c r="G36" s="5">
        <f>476</f>
        <v>476</v>
      </c>
      <c r="H36" s="5">
        <f>527</f>
        <v>527</v>
      </c>
      <c r="I36" s="5">
        <f>510</f>
        <v>510</v>
      </c>
      <c r="J36" s="5">
        <f>535.5</f>
        <v>535.5</v>
      </c>
      <c r="K36" s="5">
        <f>510</f>
        <v>510</v>
      </c>
      <c r="L36" s="4"/>
      <c r="M36" s="4"/>
      <c r="N36" s="5">
        <f t="shared" si="5"/>
        <v>3094</v>
      </c>
    </row>
    <row r="37" spans="1:14" s="17" customFormat="1" ht="15" thickBot="1" x14ac:dyDescent="0.35">
      <c r="A37" s="14" t="s">
        <v>44</v>
      </c>
      <c r="B37" s="15">
        <f>SUM(B32:B36)</f>
        <v>0</v>
      </c>
      <c r="C37" s="15">
        <f>SUM(C32:C36)</f>
        <v>0</v>
      </c>
      <c r="D37" s="15">
        <f>SUM(D32:D36)</f>
        <v>0</v>
      </c>
      <c r="E37" s="15">
        <f>SUM(E32:E36)</f>
        <v>4098.96</v>
      </c>
      <c r="F37" s="15">
        <f>SUM(F32:F36)</f>
        <v>535.5</v>
      </c>
      <c r="G37" s="15">
        <f>SUM(G32:G36)</f>
        <v>505.99</v>
      </c>
      <c r="H37" s="15">
        <f>SUM(H32:H36)</f>
        <v>627.14</v>
      </c>
      <c r="I37" s="15">
        <f>SUM(I32:I36)</f>
        <v>510</v>
      </c>
      <c r="J37" s="15">
        <f>SUM(J32:J36)</f>
        <v>612.9</v>
      </c>
      <c r="K37" s="15">
        <f>SUM(K32:K36)</f>
        <v>1670</v>
      </c>
      <c r="L37" s="15">
        <f>SUM(L32:L36)</f>
        <v>60</v>
      </c>
      <c r="M37" s="15">
        <f>SUM(M32:M36)</f>
        <v>32</v>
      </c>
      <c r="N37" s="16">
        <f t="shared" si="5"/>
        <v>8652.49</v>
      </c>
    </row>
    <row r="38" spans="1:14" ht="14.4" thickTop="1" x14ac:dyDescent="0.3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5"/>
    </row>
    <row r="39" spans="1:14" x14ac:dyDescent="0.3">
      <c r="A39" s="3" t="s">
        <v>45</v>
      </c>
      <c r="B39" s="4"/>
      <c r="C39" s="5">
        <f>160</f>
        <v>160</v>
      </c>
      <c r="D39" s="4"/>
      <c r="E39" s="4"/>
      <c r="F39" s="5">
        <f>170</f>
        <v>170</v>
      </c>
      <c r="G39" s="4"/>
      <c r="H39" s="4"/>
      <c r="I39" s="4"/>
      <c r="J39" s="4"/>
      <c r="K39" s="4"/>
      <c r="L39" s="4"/>
      <c r="M39" s="4"/>
      <c r="N39" s="5">
        <f t="shared" ref="N39:N50" si="6">SUM(B39:M39)</f>
        <v>330</v>
      </c>
    </row>
    <row r="40" spans="1:14" x14ac:dyDescent="0.3">
      <c r="A40" s="3" t="s">
        <v>46</v>
      </c>
      <c r="B40" s="5">
        <f>75</f>
        <v>75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>
        <f t="shared" si="6"/>
        <v>75</v>
      </c>
    </row>
    <row r="41" spans="1:14" x14ac:dyDescent="0.3">
      <c r="A41" s="3" t="s">
        <v>47</v>
      </c>
      <c r="B41" s="5">
        <f>250</f>
        <v>250</v>
      </c>
      <c r="C41" s="4"/>
      <c r="D41" s="4"/>
      <c r="E41" s="4"/>
      <c r="F41" s="5">
        <f>150</f>
        <v>150</v>
      </c>
      <c r="G41" s="4"/>
      <c r="H41" s="4"/>
      <c r="I41" s="4"/>
      <c r="J41" s="4"/>
      <c r="K41" s="4"/>
      <c r="L41" s="4"/>
      <c r="M41" s="4"/>
      <c r="N41" s="5">
        <f t="shared" si="6"/>
        <v>400</v>
      </c>
    </row>
    <row r="42" spans="1:14" x14ac:dyDescent="0.3">
      <c r="A42" s="3"/>
      <c r="B42" s="5"/>
      <c r="C42" s="4"/>
      <c r="D42" s="4"/>
      <c r="E42" s="4"/>
      <c r="F42" s="5"/>
      <c r="G42" s="4"/>
      <c r="H42" s="4"/>
      <c r="I42" s="4"/>
      <c r="J42" s="4"/>
      <c r="K42" s="4"/>
      <c r="L42" s="4"/>
      <c r="M42" s="4"/>
      <c r="N42" s="5">
        <f t="shared" si="6"/>
        <v>0</v>
      </c>
    </row>
    <row r="43" spans="1:14" x14ac:dyDescent="0.3">
      <c r="A43" s="3" t="s">
        <v>48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>
        <f t="shared" si="6"/>
        <v>0</v>
      </c>
    </row>
    <row r="44" spans="1:14" x14ac:dyDescent="0.3">
      <c r="A44" s="3" t="s">
        <v>49</v>
      </c>
      <c r="B44" s="4"/>
      <c r="C44" s="4"/>
      <c r="D44" s="4"/>
      <c r="E44" s="5">
        <f>0.4</f>
        <v>0.4</v>
      </c>
      <c r="F44" s="5">
        <f>11</f>
        <v>11</v>
      </c>
      <c r="G44" s="5">
        <f>30</f>
        <v>30</v>
      </c>
      <c r="H44" s="5">
        <f>2</f>
        <v>2</v>
      </c>
      <c r="I44" s="5">
        <f>3.6</f>
        <v>3.6</v>
      </c>
      <c r="J44" s="5">
        <f>1.8</f>
        <v>1.8</v>
      </c>
      <c r="K44" s="5">
        <f>3.8</f>
        <v>3.8</v>
      </c>
      <c r="L44" s="5">
        <f>6.2</f>
        <v>6.2</v>
      </c>
      <c r="M44" s="5">
        <f>2</f>
        <v>2</v>
      </c>
      <c r="N44" s="5">
        <f t="shared" si="6"/>
        <v>60.8</v>
      </c>
    </row>
    <row r="45" spans="1:14" x14ac:dyDescent="0.3">
      <c r="A45" s="3" t="s">
        <v>50</v>
      </c>
      <c r="B45" s="4"/>
      <c r="C45" s="4"/>
      <c r="D45" s="4"/>
      <c r="E45" s="4"/>
      <c r="F45" s="5">
        <f>375</f>
        <v>375</v>
      </c>
      <c r="G45" s="5">
        <f>255</f>
        <v>255</v>
      </c>
      <c r="H45" s="5">
        <f>255</f>
        <v>255</v>
      </c>
      <c r="I45" s="5">
        <f>255</f>
        <v>255</v>
      </c>
      <c r="J45" s="5">
        <f>255</f>
        <v>255</v>
      </c>
      <c r="K45" s="5">
        <f>255</f>
        <v>255</v>
      </c>
      <c r="L45" s="5">
        <f>255</f>
        <v>255</v>
      </c>
      <c r="M45" s="5">
        <f>255</f>
        <v>255</v>
      </c>
      <c r="N45" s="5">
        <f t="shared" si="6"/>
        <v>2160</v>
      </c>
    </row>
    <row r="46" spans="1:14" x14ac:dyDescent="0.3">
      <c r="A46" s="3" t="s">
        <v>51</v>
      </c>
      <c r="B46" s="4"/>
      <c r="C46" s="4"/>
      <c r="D46" s="4"/>
      <c r="E46" s="4"/>
      <c r="F46" s="4"/>
      <c r="G46" s="4"/>
      <c r="H46" s="5">
        <f>100</f>
        <v>100</v>
      </c>
      <c r="I46" s="4"/>
      <c r="J46" s="4"/>
      <c r="K46" s="4"/>
      <c r="L46" s="4"/>
      <c r="M46" s="4"/>
      <c r="N46" s="5">
        <f t="shared" si="6"/>
        <v>100</v>
      </c>
    </row>
    <row r="47" spans="1:14" x14ac:dyDescent="0.3">
      <c r="A47" s="3" t="s">
        <v>52</v>
      </c>
      <c r="B47" s="4"/>
      <c r="C47" s="4"/>
      <c r="D47" s="4"/>
      <c r="E47" s="4"/>
      <c r="F47" s="5">
        <f>45</f>
        <v>45</v>
      </c>
      <c r="G47" s="5">
        <f>45</f>
        <v>45</v>
      </c>
      <c r="H47" s="5">
        <f>45</f>
        <v>45</v>
      </c>
      <c r="I47" s="5">
        <f>45</f>
        <v>45</v>
      </c>
      <c r="J47" s="5">
        <f>45</f>
        <v>45</v>
      </c>
      <c r="K47" s="5">
        <f>45</f>
        <v>45</v>
      </c>
      <c r="L47" s="5">
        <f>121.49</f>
        <v>121.49</v>
      </c>
      <c r="M47" s="5">
        <f>45</f>
        <v>45</v>
      </c>
      <c r="N47" s="5">
        <f t="shared" si="6"/>
        <v>436.49</v>
      </c>
    </row>
    <row r="48" spans="1:14" x14ac:dyDescent="0.3">
      <c r="A48" s="3" t="s">
        <v>53</v>
      </c>
      <c r="B48" s="4"/>
      <c r="C48" s="4"/>
      <c r="D48" s="4"/>
      <c r="E48" s="5">
        <f>324</f>
        <v>324</v>
      </c>
      <c r="F48" s="5">
        <f>407.08</f>
        <v>407.08</v>
      </c>
      <c r="G48" s="5">
        <f>112.94</f>
        <v>112.94</v>
      </c>
      <c r="H48" s="5">
        <f>876.62</f>
        <v>876.62</v>
      </c>
      <c r="I48" s="5">
        <f>588.74</f>
        <v>588.74</v>
      </c>
      <c r="J48" s="5">
        <f>472.46</f>
        <v>472.46</v>
      </c>
      <c r="K48" s="5">
        <f>270.72</f>
        <v>270.72000000000003</v>
      </c>
      <c r="L48" s="5">
        <f>392.73</f>
        <v>392.73</v>
      </c>
      <c r="M48" s="4"/>
      <c r="N48" s="5">
        <f t="shared" si="6"/>
        <v>3445.2900000000004</v>
      </c>
    </row>
    <row r="49" spans="1:14" x14ac:dyDescent="0.3">
      <c r="A49" s="3" t="s">
        <v>54</v>
      </c>
      <c r="B49" s="4"/>
      <c r="C49" s="4"/>
      <c r="D49" s="4"/>
      <c r="E49" s="4"/>
      <c r="F49" s="4"/>
      <c r="G49" s="4"/>
      <c r="H49" s="5">
        <f>264</f>
        <v>264</v>
      </c>
      <c r="I49" s="4"/>
      <c r="J49" s="4"/>
      <c r="K49" s="5">
        <f>264</f>
        <v>264</v>
      </c>
      <c r="L49" s="4"/>
      <c r="M49" s="4"/>
      <c r="N49" s="5">
        <f t="shared" si="6"/>
        <v>528</v>
      </c>
    </row>
    <row r="50" spans="1:14" s="17" customFormat="1" ht="29.4" thickBot="1" x14ac:dyDescent="0.35">
      <c r="A50" s="14" t="s">
        <v>55</v>
      </c>
      <c r="B50" s="15">
        <f t="shared" ref="B50:M50" si="7">SUM(B39:B49)</f>
        <v>325</v>
      </c>
      <c r="C50" s="15">
        <f t="shared" si="7"/>
        <v>160</v>
      </c>
      <c r="D50" s="15">
        <f t="shared" si="7"/>
        <v>0</v>
      </c>
      <c r="E50" s="15">
        <f t="shared" si="7"/>
        <v>324.39999999999998</v>
      </c>
      <c r="F50" s="15">
        <f t="shared" si="7"/>
        <v>1158.08</v>
      </c>
      <c r="G50" s="15">
        <f t="shared" si="7"/>
        <v>442.94</v>
      </c>
      <c r="H50" s="15">
        <f t="shared" si="7"/>
        <v>1542.62</v>
      </c>
      <c r="I50" s="15">
        <f t="shared" si="7"/>
        <v>892.34</v>
      </c>
      <c r="J50" s="15">
        <f t="shared" si="7"/>
        <v>774.26</v>
      </c>
      <c r="K50" s="15">
        <f t="shared" si="7"/>
        <v>838.52</v>
      </c>
      <c r="L50" s="15">
        <f t="shared" si="7"/>
        <v>775.42000000000007</v>
      </c>
      <c r="M50" s="15">
        <f t="shared" si="7"/>
        <v>302</v>
      </c>
      <c r="N50" s="16">
        <f t="shared" si="6"/>
        <v>7535.58</v>
      </c>
    </row>
    <row r="51" spans="1:14" ht="14.4" thickTop="1" x14ac:dyDescent="0.3">
      <c r="A51" s="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3">
      <c r="A52" s="3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3">
      <c r="A53" s="3" t="s">
        <v>56</v>
      </c>
      <c r="B53" s="5">
        <f>2627.74</f>
        <v>2627.74</v>
      </c>
      <c r="C53" s="4"/>
      <c r="D53" s="4"/>
      <c r="E53" s="21">
        <f>6440.26</f>
        <v>6440.26</v>
      </c>
      <c r="F53" s="5">
        <f>2527.93</f>
        <v>2527.9299999999998</v>
      </c>
      <c r="G53" s="5">
        <f t="shared" ref="G53:M53" si="8">2951.93</f>
        <v>2951.93</v>
      </c>
      <c r="H53" s="5">
        <f t="shared" si="8"/>
        <v>2951.93</v>
      </c>
      <c r="I53" s="5">
        <f t="shared" si="8"/>
        <v>2951.93</v>
      </c>
      <c r="J53" s="5">
        <f t="shared" si="8"/>
        <v>2951.93</v>
      </c>
      <c r="K53" s="5">
        <f t="shared" si="8"/>
        <v>2951.93</v>
      </c>
      <c r="L53" s="5">
        <f t="shared" si="8"/>
        <v>2951.93</v>
      </c>
      <c r="M53" s="5">
        <f t="shared" si="8"/>
        <v>2951.93</v>
      </c>
      <c r="N53" s="5">
        <f>SUM(B53:M53)</f>
        <v>32259.440000000002</v>
      </c>
    </row>
    <row r="54" spans="1:14" x14ac:dyDescent="0.3">
      <c r="A54" s="3" t="s">
        <v>57</v>
      </c>
      <c r="B54" s="5">
        <f>742</f>
        <v>742</v>
      </c>
      <c r="C54" s="5">
        <f>420</f>
        <v>420</v>
      </c>
      <c r="D54" s="5">
        <f>532.9</f>
        <v>532.9</v>
      </c>
      <c r="E54" s="4"/>
      <c r="F54" s="5">
        <f>598.57</f>
        <v>598.57000000000005</v>
      </c>
      <c r="G54" s="4"/>
      <c r="H54" s="5">
        <f>90</f>
        <v>90</v>
      </c>
      <c r="I54" s="5">
        <f>40.42</f>
        <v>40.42</v>
      </c>
      <c r="J54" s="5">
        <f>1705.96</f>
        <v>1705.96</v>
      </c>
      <c r="K54" s="5">
        <f>525</f>
        <v>525</v>
      </c>
      <c r="L54" s="5">
        <f>1575</f>
        <v>1575</v>
      </c>
      <c r="M54" s="5">
        <f>875</f>
        <v>875</v>
      </c>
      <c r="N54" s="5">
        <f>SUM(B54:M54)</f>
        <v>7104.85</v>
      </c>
    </row>
    <row r="55" spans="1:14" x14ac:dyDescent="0.3">
      <c r="A55" s="3" t="s">
        <v>58</v>
      </c>
      <c r="B55" s="4"/>
      <c r="C55" s="4"/>
      <c r="D55" s="4"/>
      <c r="E55" s="4"/>
      <c r="F55" s="4"/>
      <c r="G55" s="4"/>
      <c r="H55" s="4"/>
      <c r="I55" s="5">
        <f>1125</f>
        <v>1125</v>
      </c>
      <c r="J55" s="4"/>
      <c r="K55" s="4"/>
      <c r="L55" s="4"/>
      <c r="M55" s="5">
        <f>712.5</f>
        <v>712.5</v>
      </c>
      <c r="N55" s="5">
        <f>SUM(B55:M55)</f>
        <v>1837.5</v>
      </c>
    </row>
    <row r="56" spans="1:14" x14ac:dyDescent="0.3">
      <c r="A56" s="3"/>
      <c r="B56" s="4"/>
      <c r="C56" s="4"/>
      <c r="D56" s="4"/>
      <c r="E56" s="4"/>
      <c r="F56" s="4"/>
      <c r="G56" s="4"/>
      <c r="H56" s="4"/>
      <c r="I56" s="5"/>
      <c r="J56" s="4"/>
      <c r="K56" s="4"/>
      <c r="L56" s="4"/>
      <c r="M56" s="5"/>
      <c r="N56" s="5"/>
    </row>
    <row r="57" spans="1:14" x14ac:dyDescent="0.3">
      <c r="A57" s="3" t="s">
        <v>59</v>
      </c>
      <c r="B57" s="4"/>
      <c r="C57" s="4"/>
      <c r="D57" s="4"/>
      <c r="E57" s="4"/>
      <c r="F57" s="4"/>
      <c r="G57" s="4"/>
      <c r="H57" s="5">
        <f>168</f>
        <v>168</v>
      </c>
      <c r="I57" s="5">
        <f>48</f>
        <v>48</v>
      </c>
      <c r="J57" s="5">
        <f>96</f>
        <v>96</v>
      </c>
      <c r="K57" s="5">
        <f>48</f>
        <v>48</v>
      </c>
      <c r="L57" s="4"/>
      <c r="M57" s="5">
        <f>1192</f>
        <v>1192</v>
      </c>
      <c r="N57" s="5">
        <f>SUM(B57:M57)</f>
        <v>1552</v>
      </c>
    </row>
    <row r="58" spans="1:14" x14ac:dyDescent="0.3">
      <c r="A58" s="3" t="s">
        <v>60</v>
      </c>
      <c r="B58" s="5">
        <f>300</f>
        <v>300</v>
      </c>
      <c r="C58" s="5">
        <f>300</f>
        <v>300</v>
      </c>
      <c r="D58" s="4"/>
      <c r="E58" s="5">
        <f>300</f>
        <v>300</v>
      </c>
      <c r="F58" s="4"/>
      <c r="G58" s="5">
        <f>1100</f>
        <v>1100</v>
      </c>
      <c r="H58" s="4"/>
      <c r="I58" s="4"/>
      <c r="J58" s="4"/>
      <c r="K58" s="4"/>
      <c r="L58" s="4"/>
      <c r="M58" s="4"/>
      <c r="N58" s="5">
        <f>SUM(B58:M58)</f>
        <v>2000</v>
      </c>
    </row>
    <row r="59" spans="1:14" x14ac:dyDescent="0.3">
      <c r="A59" s="3" t="s">
        <v>61</v>
      </c>
      <c r="B59" s="5">
        <f>100</f>
        <v>100</v>
      </c>
      <c r="C59" s="4"/>
      <c r="D59" s="4"/>
      <c r="E59" s="4"/>
      <c r="F59" s="5">
        <f>321.16</f>
        <v>321.16000000000003</v>
      </c>
      <c r="G59" s="4"/>
      <c r="H59" s="5">
        <f>375.88</f>
        <v>375.88</v>
      </c>
      <c r="I59" s="4"/>
      <c r="J59" s="4"/>
      <c r="K59" s="5">
        <f>138</f>
        <v>138</v>
      </c>
      <c r="L59" s="5">
        <f>1200</f>
        <v>1200</v>
      </c>
      <c r="M59" s="4"/>
      <c r="N59" s="5">
        <f>SUM(B59:M59)</f>
        <v>2135.04</v>
      </c>
    </row>
    <row r="60" spans="1:14" s="17" customFormat="1" ht="29.4" thickBot="1" x14ac:dyDescent="0.35">
      <c r="A60" s="14" t="s">
        <v>62</v>
      </c>
      <c r="B60" s="15">
        <f t="shared" ref="B60:M60" si="9">SUM(B53:B59)</f>
        <v>3769.74</v>
      </c>
      <c r="C60" s="15">
        <f t="shared" si="9"/>
        <v>720</v>
      </c>
      <c r="D60" s="15">
        <f t="shared" si="9"/>
        <v>532.9</v>
      </c>
      <c r="E60" s="15">
        <f t="shared" si="9"/>
        <v>6740.26</v>
      </c>
      <c r="F60" s="15">
        <f t="shared" si="9"/>
        <v>3447.66</v>
      </c>
      <c r="G60" s="15">
        <f t="shared" si="9"/>
        <v>4051.93</v>
      </c>
      <c r="H60" s="15">
        <f t="shared" si="9"/>
        <v>3585.81</v>
      </c>
      <c r="I60" s="15">
        <f t="shared" si="9"/>
        <v>4165.3500000000004</v>
      </c>
      <c r="J60" s="15">
        <f t="shared" si="9"/>
        <v>4753.8899999999994</v>
      </c>
      <c r="K60" s="15">
        <f t="shared" si="9"/>
        <v>3662.93</v>
      </c>
      <c r="L60" s="15">
        <f t="shared" si="9"/>
        <v>5726.93</v>
      </c>
      <c r="M60" s="15">
        <f t="shared" si="9"/>
        <v>5731.43</v>
      </c>
      <c r="N60" s="16">
        <f>SUM(B60:M60)</f>
        <v>46888.83</v>
      </c>
    </row>
    <row r="61" spans="1:14" ht="14.4" thickTop="1" x14ac:dyDescent="0.3">
      <c r="A61" s="3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">
      <c r="A62" s="3" t="s">
        <v>63</v>
      </c>
      <c r="B62" s="5">
        <f>1511.33</f>
        <v>1511.33</v>
      </c>
      <c r="C62" s="5">
        <f>1044.87</f>
        <v>1044.8699999999999</v>
      </c>
      <c r="D62" s="5">
        <f>158.36</f>
        <v>158.36000000000001</v>
      </c>
      <c r="E62" s="5">
        <f>440</f>
        <v>440</v>
      </c>
      <c r="F62" s="5">
        <f>1910.87</f>
        <v>1910.87</v>
      </c>
      <c r="G62" s="4"/>
      <c r="H62" s="5">
        <f>2389.94</f>
        <v>2389.94</v>
      </c>
      <c r="I62" s="5">
        <f>1256.2</f>
        <v>1256.2</v>
      </c>
      <c r="J62" s="5">
        <f>1178.93</f>
        <v>1178.93</v>
      </c>
      <c r="K62" s="5">
        <f>1455.35</f>
        <v>1455.35</v>
      </c>
      <c r="L62" s="5">
        <f>1543.69</f>
        <v>1543.69</v>
      </c>
      <c r="M62" s="4"/>
      <c r="N62" s="5">
        <f>SUM(B62:M62)</f>
        <v>12889.540000000003</v>
      </c>
    </row>
    <row r="63" spans="1:14" x14ac:dyDescent="0.3">
      <c r="A63" s="3" t="s">
        <v>64</v>
      </c>
      <c r="B63" s="4"/>
      <c r="C63" s="5">
        <f>250</f>
        <v>250</v>
      </c>
      <c r="D63" s="5">
        <f>250</f>
        <v>250</v>
      </c>
      <c r="E63" s="4"/>
      <c r="F63" s="4"/>
      <c r="G63" s="4"/>
      <c r="H63" s="4"/>
      <c r="I63" s="4"/>
      <c r="J63" s="4"/>
      <c r="K63" s="4"/>
      <c r="L63" s="4"/>
      <c r="M63" s="4"/>
      <c r="N63" s="5">
        <f>SUM(B63:M63)</f>
        <v>500</v>
      </c>
    </row>
    <row r="64" spans="1:14" x14ac:dyDescent="0.3">
      <c r="A64" s="3"/>
      <c r="B64" s="4"/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5"/>
    </row>
    <row r="65" spans="1:14" x14ac:dyDescent="0.3">
      <c r="A65" s="3" t="s">
        <v>65</v>
      </c>
      <c r="B65" s="4"/>
      <c r="C65" s="4"/>
      <c r="D65" s="4"/>
      <c r="E65" s="4"/>
      <c r="F65" s="5">
        <f>53.75</f>
        <v>53.75</v>
      </c>
      <c r="G65" s="5">
        <f>53.75</f>
        <v>53.75</v>
      </c>
      <c r="H65" s="5">
        <f>51.5</f>
        <v>51.5</v>
      </c>
      <c r="I65" s="4"/>
      <c r="J65" s="4"/>
      <c r="K65" s="5">
        <f>114.4</f>
        <v>114.4</v>
      </c>
      <c r="L65" s="4"/>
      <c r="M65" s="4"/>
      <c r="N65" s="5">
        <f>SUM(B65:M65)</f>
        <v>273.39999999999998</v>
      </c>
    </row>
    <row r="66" spans="1:14" x14ac:dyDescent="0.3">
      <c r="A66" s="3" t="s">
        <v>66</v>
      </c>
      <c r="B66" s="4"/>
      <c r="C66" s="4"/>
      <c r="D66" s="4"/>
      <c r="E66" s="5">
        <f>114.03</f>
        <v>114.03</v>
      </c>
      <c r="F66" s="5">
        <f>200.04</f>
        <v>200.04</v>
      </c>
      <c r="G66" s="5">
        <f>259.92</f>
        <v>259.92</v>
      </c>
      <c r="H66" s="5">
        <f>300.95</f>
        <v>300.95</v>
      </c>
      <c r="I66" s="5">
        <f>191.82</f>
        <v>191.82</v>
      </c>
      <c r="J66" s="5">
        <f>614.38</f>
        <v>614.38</v>
      </c>
      <c r="K66" s="5">
        <f>504.74</f>
        <v>504.74</v>
      </c>
      <c r="L66" s="5">
        <f>365.59</f>
        <v>365.59</v>
      </c>
      <c r="M66" s="5">
        <f>382.54</f>
        <v>382.54</v>
      </c>
      <c r="N66" s="5">
        <f>SUM(B66:M66)</f>
        <v>2934.01</v>
      </c>
    </row>
    <row r="67" spans="1:14" x14ac:dyDescent="0.3">
      <c r="A67" s="3" t="s">
        <v>67</v>
      </c>
      <c r="B67" s="4"/>
      <c r="C67" s="4"/>
      <c r="D67" s="4"/>
      <c r="E67" s="5">
        <f>1074.42</f>
        <v>1074.42</v>
      </c>
      <c r="F67" s="5">
        <f>1826.78</f>
        <v>1826.78</v>
      </c>
      <c r="G67" s="5">
        <f>2373.72</f>
        <v>2373.7199999999998</v>
      </c>
      <c r="H67" s="5">
        <f>2760.5</f>
        <v>2760.5</v>
      </c>
      <c r="I67" s="5">
        <f>1789.15</f>
        <v>1789.15</v>
      </c>
      <c r="J67" s="5">
        <f>7478.81</f>
        <v>7478.81</v>
      </c>
      <c r="K67" s="5">
        <f>5372.14</f>
        <v>5372.14</v>
      </c>
      <c r="L67" s="5">
        <f>3418.17</f>
        <v>3418.17</v>
      </c>
      <c r="M67" s="5">
        <f>3564.11</f>
        <v>3564.11</v>
      </c>
      <c r="N67" s="5">
        <f>SUM(B67:M67)</f>
        <v>29657.800000000003</v>
      </c>
    </row>
    <row r="68" spans="1:14" x14ac:dyDescent="0.3">
      <c r="A68" s="3" t="s">
        <v>68</v>
      </c>
      <c r="B68" s="4"/>
      <c r="C68" s="4"/>
      <c r="D68" s="4"/>
      <c r="E68" s="4"/>
      <c r="F68" s="4"/>
      <c r="G68" s="4"/>
      <c r="H68" s="5">
        <f>266.33</f>
        <v>266.33</v>
      </c>
      <c r="I68" s="4"/>
      <c r="J68" s="4"/>
      <c r="K68" s="5">
        <f>437.86</f>
        <v>437.86</v>
      </c>
      <c r="L68" s="4"/>
      <c r="M68" s="4"/>
      <c r="N68" s="5">
        <f>SUM(B68:M68)</f>
        <v>704.19</v>
      </c>
    </row>
    <row r="69" spans="1:14" s="17" customFormat="1" ht="15" thickBot="1" x14ac:dyDescent="0.35">
      <c r="A69" s="14" t="s">
        <v>69</v>
      </c>
      <c r="B69" s="15">
        <f t="shared" ref="B69:M69" si="10">SUM(B62:B68)</f>
        <v>1511.33</v>
      </c>
      <c r="C69" s="15">
        <f t="shared" si="10"/>
        <v>1294.8699999999999</v>
      </c>
      <c r="D69" s="15">
        <f t="shared" si="10"/>
        <v>408.36</v>
      </c>
      <c r="E69" s="15">
        <f t="shared" si="10"/>
        <v>1628.45</v>
      </c>
      <c r="F69" s="15">
        <f t="shared" si="10"/>
        <v>3991.4399999999996</v>
      </c>
      <c r="G69" s="15">
        <f t="shared" si="10"/>
        <v>2687.39</v>
      </c>
      <c r="H69" s="15">
        <f t="shared" si="10"/>
        <v>5769.2199999999993</v>
      </c>
      <c r="I69" s="15">
        <f t="shared" si="10"/>
        <v>3237.17</v>
      </c>
      <c r="J69" s="15">
        <f t="shared" si="10"/>
        <v>9272.1200000000008</v>
      </c>
      <c r="K69" s="15">
        <f t="shared" si="10"/>
        <v>7884.49</v>
      </c>
      <c r="L69" s="15">
        <f t="shared" si="10"/>
        <v>5327.45</v>
      </c>
      <c r="M69" s="15">
        <f t="shared" si="10"/>
        <v>3946.65</v>
      </c>
      <c r="N69" s="16">
        <f>SUM(B69:M69)</f>
        <v>46958.939999999995</v>
      </c>
    </row>
    <row r="70" spans="1:14" ht="14.4" thickTop="1" x14ac:dyDescent="0.3">
      <c r="A70" s="3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">
      <c r="A71" s="3" t="s">
        <v>70</v>
      </c>
      <c r="B71" s="5">
        <f>2345.17</f>
        <v>2345.17</v>
      </c>
      <c r="C71" s="5">
        <f>2345.17</f>
        <v>2345.17</v>
      </c>
      <c r="D71" s="5">
        <f>2345.17</f>
        <v>2345.17</v>
      </c>
      <c r="E71" s="5">
        <f>2345.18</f>
        <v>2345.1799999999998</v>
      </c>
      <c r="F71" s="5">
        <f>2579.69</f>
        <v>2579.69</v>
      </c>
      <c r="G71" s="5">
        <f>2579.69</f>
        <v>2579.69</v>
      </c>
      <c r="H71" s="5">
        <f>2579.69</f>
        <v>2579.69</v>
      </c>
      <c r="I71" s="5">
        <f>2579.71</f>
        <v>2579.71</v>
      </c>
      <c r="J71" s="5">
        <f>2579.69</f>
        <v>2579.69</v>
      </c>
      <c r="K71" s="5">
        <f>2579.69</f>
        <v>2579.69</v>
      </c>
      <c r="L71" s="5">
        <f>2579.69</f>
        <v>2579.69</v>
      </c>
      <c r="M71" s="5">
        <f>2579.69</f>
        <v>2579.69</v>
      </c>
      <c r="N71" s="5">
        <f t="shared" ref="N71:N90" si="11">SUM(B71:M71)</f>
        <v>30018.229999999996</v>
      </c>
    </row>
    <row r="72" spans="1:14" x14ac:dyDescent="0.3">
      <c r="A72" s="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>
        <f t="shared" si="11"/>
        <v>0</v>
      </c>
    </row>
    <row r="73" spans="1:14" x14ac:dyDescent="0.3">
      <c r="A73" s="3" t="s">
        <v>71</v>
      </c>
      <c r="B73" s="4"/>
      <c r="C73" s="4"/>
      <c r="D73" s="5">
        <f>58.54</f>
        <v>58.54</v>
      </c>
      <c r="E73" s="4"/>
      <c r="F73" s="4"/>
      <c r="G73" s="4"/>
      <c r="H73" s="4"/>
      <c r="I73" s="4"/>
      <c r="J73" s="4"/>
      <c r="K73" s="4"/>
      <c r="L73" s="4"/>
      <c r="M73" s="4"/>
      <c r="N73" s="5">
        <f t="shared" si="11"/>
        <v>58.54</v>
      </c>
    </row>
    <row r="74" spans="1:14" x14ac:dyDescent="0.3">
      <c r="A74" s="3" t="s">
        <v>72</v>
      </c>
      <c r="B74" s="4"/>
      <c r="C74" s="4"/>
      <c r="D74" s="4"/>
      <c r="E74" s="21">
        <f>8139.33</f>
        <v>8139.33</v>
      </c>
      <c r="F74" s="4"/>
      <c r="G74" s="5">
        <f>293.73</f>
        <v>293.73</v>
      </c>
      <c r="H74" s="4"/>
      <c r="I74" s="5">
        <f>67.73</f>
        <v>67.73</v>
      </c>
      <c r="J74" s="4"/>
      <c r="K74" s="5">
        <f>13.11</f>
        <v>13.11</v>
      </c>
      <c r="L74" s="4"/>
      <c r="M74" s="4"/>
      <c r="N74" s="5">
        <f t="shared" si="11"/>
        <v>8513.9</v>
      </c>
    </row>
    <row r="75" spans="1:14" x14ac:dyDescent="0.3">
      <c r="A75" s="3" t="s">
        <v>73</v>
      </c>
      <c r="B75" s="5">
        <f>150</f>
        <v>150</v>
      </c>
      <c r="C75" s="5">
        <f>845</f>
        <v>845</v>
      </c>
      <c r="D75" s="5">
        <f>1317.03</f>
        <v>1317.03</v>
      </c>
      <c r="E75" s="4"/>
      <c r="F75" s="5">
        <f>327.87</f>
        <v>327.87</v>
      </c>
      <c r="G75" s="5">
        <f>2681.88</f>
        <v>2681.88</v>
      </c>
      <c r="H75" s="4"/>
      <c r="I75" s="4"/>
      <c r="J75" s="4"/>
      <c r="K75" s="5">
        <f>354.09</f>
        <v>354.09</v>
      </c>
      <c r="L75" s="4"/>
      <c r="M75" s="4"/>
      <c r="N75" s="5">
        <f t="shared" si="11"/>
        <v>5675.87</v>
      </c>
    </row>
    <row r="76" spans="1:14" x14ac:dyDescent="0.3">
      <c r="A76" s="3" t="s">
        <v>74</v>
      </c>
      <c r="B76" s="4"/>
      <c r="C76" s="5">
        <f>180</f>
        <v>180</v>
      </c>
      <c r="D76" s="5">
        <f>400</f>
        <v>400</v>
      </c>
      <c r="E76" s="4"/>
      <c r="F76" s="4"/>
      <c r="G76" s="4"/>
      <c r="H76" s="5">
        <f>495.6</f>
        <v>495.6</v>
      </c>
      <c r="I76" s="5">
        <f>182.5</f>
        <v>182.5</v>
      </c>
      <c r="J76" s="5">
        <f>404.5</f>
        <v>404.5</v>
      </c>
      <c r="K76" s="5">
        <f>120</f>
        <v>120</v>
      </c>
      <c r="L76" s="5">
        <f>120</f>
        <v>120</v>
      </c>
      <c r="M76" s="4"/>
      <c r="N76" s="5">
        <f t="shared" si="11"/>
        <v>1902.6</v>
      </c>
    </row>
    <row r="77" spans="1:14" x14ac:dyDescent="0.3">
      <c r="A77" s="3" t="s">
        <v>75</v>
      </c>
      <c r="B77" s="5">
        <f>50</f>
        <v>50</v>
      </c>
      <c r="C77" s="5">
        <f>350</f>
        <v>350</v>
      </c>
      <c r="D77" s="5">
        <f>800</f>
        <v>800</v>
      </c>
      <c r="E77" s="4"/>
      <c r="F77" s="5">
        <f>61.87</f>
        <v>61.87</v>
      </c>
      <c r="G77" s="4"/>
      <c r="H77" s="5">
        <f>1628.71</f>
        <v>1628.71</v>
      </c>
      <c r="I77" s="5">
        <f>580.05</f>
        <v>580.04999999999995</v>
      </c>
      <c r="J77" s="5">
        <f>869.01</f>
        <v>869.01</v>
      </c>
      <c r="K77" s="5">
        <f>1451.27</f>
        <v>1451.27</v>
      </c>
      <c r="L77" s="5">
        <f>884.82</f>
        <v>884.82</v>
      </c>
      <c r="M77" s="5">
        <f>450</f>
        <v>450</v>
      </c>
      <c r="N77" s="5">
        <f t="shared" si="11"/>
        <v>7125.73</v>
      </c>
    </row>
    <row r="78" spans="1:14" x14ac:dyDescent="0.3">
      <c r="A78" s="3" t="s">
        <v>76</v>
      </c>
      <c r="B78" s="5">
        <f>100</f>
        <v>100</v>
      </c>
      <c r="C78" s="4"/>
      <c r="D78" s="4"/>
      <c r="E78" s="4"/>
      <c r="F78" s="5">
        <f>702.5</f>
        <v>702.5</v>
      </c>
      <c r="G78" s="4"/>
      <c r="H78" s="4"/>
      <c r="I78" s="4"/>
      <c r="J78" s="4"/>
      <c r="K78" s="5">
        <f>120.23</f>
        <v>120.23</v>
      </c>
      <c r="L78" s="4"/>
      <c r="M78" s="4"/>
      <c r="N78" s="5">
        <f t="shared" si="11"/>
        <v>922.73</v>
      </c>
    </row>
    <row r="79" spans="1:14" x14ac:dyDescent="0.3">
      <c r="A79" s="3" t="s">
        <v>77</v>
      </c>
      <c r="B79" s="4"/>
      <c r="C79" s="4"/>
      <c r="D79" s="4"/>
      <c r="E79" s="4"/>
      <c r="F79" s="5">
        <f>731.48</f>
        <v>731.48</v>
      </c>
      <c r="G79" s="4"/>
      <c r="H79" s="5">
        <f>424.52</f>
        <v>424.52</v>
      </c>
      <c r="I79" s="5">
        <f>284.3</f>
        <v>284.3</v>
      </c>
      <c r="J79" s="5">
        <f>205.4</f>
        <v>205.4</v>
      </c>
      <c r="K79" s="5">
        <f>332.89</f>
        <v>332.89</v>
      </c>
      <c r="L79" s="5">
        <f>163.36</f>
        <v>163.36000000000001</v>
      </c>
      <c r="M79" s="5">
        <f>137.43</f>
        <v>137.43</v>
      </c>
      <c r="N79" s="5">
        <f t="shared" si="11"/>
        <v>2279.38</v>
      </c>
    </row>
    <row r="80" spans="1:14" x14ac:dyDescent="0.3">
      <c r="A80" s="3" t="s">
        <v>78</v>
      </c>
      <c r="B80" s="5">
        <f>110</f>
        <v>110</v>
      </c>
      <c r="C80" s="5">
        <f>527.22</f>
        <v>527.22</v>
      </c>
      <c r="D80" s="5">
        <f>449</f>
        <v>449</v>
      </c>
      <c r="E80" s="4"/>
      <c r="F80" s="5">
        <f>1318.7</f>
        <v>1318.7</v>
      </c>
      <c r="G80" s="5">
        <f>125</f>
        <v>125</v>
      </c>
      <c r="H80" s="4"/>
      <c r="I80" s="5">
        <f>120.23</f>
        <v>120.23</v>
      </c>
      <c r="J80" s="5">
        <f>538</f>
        <v>538</v>
      </c>
      <c r="K80" s="5">
        <f>1677</f>
        <v>1677</v>
      </c>
      <c r="L80" s="5">
        <f>741</f>
        <v>741</v>
      </c>
      <c r="M80" s="5">
        <f>1761</f>
        <v>1761</v>
      </c>
      <c r="N80" s="5">
        <f t="shared" si="11"/>
        <v>7367.15</v>
      </c>
    </row>
    <row r="81" spans="1:14" x14ac:dyDescent="0.3">
      <c r="A81" s="3" t="s">
        <v>79</v>
      </c>
      <c r="B81" s="4"/>
      <c r="C81" s="5">
        <f>40.3</f>
        <v>40.299999999999997</v>
      </c>
      <c r="D81" s="5">
        <f>200</f>
        <v>200</v>
      </c>
      <c r="E81" s="4"/>
      <c r="F81" s="5">
        <f>52.66</f>
        <v>52.66</v>
      </c>
      <c r="G81" s="5">
        <f>92.84</f>
        <v>92.84</v>
      </c>
      <c r="H81" s="4"/>
      <c r="I81" s="5">
        <f>285</f>
        <v>285</v>
      </c>
      <c r="J81" s="5">
        <f>29.49</f>
        <v>29.49</v>
      </c>
      <c r="K81" s="5">
        <f>411.55</f>
        <v>411.55</v>
      </c>
      <c r="L81" s="5">
        <f>27.95</f>
        <v>27.95</v>
      </c>
      <c r="M81" s="4"/>
      <c r="N81" s="5">
        <f t="shared" si="11"/>
        <v>1139.7900000000002</v>
      </c>
    </row>
    <row r="82" spans="1:14" x14ac:dyDescent="0.3">
      <c r="A82" s="3" t="s">
        <v>80</v>
      </c>
      <c r="B82" s="4"/>
      <c r="C82" s="4"/>
      <c r="D82" s="5">
        <f>550</f>
        <v>550</v>
      </c>
      <c r="E82" s="4"/>
      <c r="F82" s="5">
        <f>700.98</f>
        <v>700.98</v>
      </c>
      <c r="G82" s="4"/>
      <c r="H82" s="5">
        <f>1064.24</f>
        <v>1064.24</v>
      </c>
      <c r="I82" s="4"/>
      <c r="J82" s="5">
        <f>59.31</f>
        <v>59.31</v>
      </c>
      <c r="K82" s="4"/>
      <c r="L82" s="5">
        <f>22.57</f>
        <v>22.57</v>
      </c>
      <c r="M82" s="4"/>
      <c r="N82" s="5">
        <f t="shared" si="11"/>
        <v>2397.1000000000004</v>
      </c>
    </row>
    <row r="83" spans="1:14" x14ac:dyDescent="0.3">
      <c r="A83" s="3" t="s">
        <v>81</v>
      </c>
      <c r="B83" s="4"/>
      <c r="C83" s="4"/>
      <c r="D83" s="4"/>
      <c r="E83" s="4"/>
      <c r="F83" s="4"/>
      <c r="G83" s="5">
        <f>196.74</f>
        <v>196.74</v>
      </c>
      <c r="H83" s="4"/>
      <c r="I83" s="4"/>
      <c r="J83" s="4"/>
      <c r="K83" s="4"/>
      <c r="L83" s="5">
        <f>196.74</f>
        <v>196.74</v>
      </c>
      <c r="M83" s="5">
        <f>1071.14</f>
        <v>1071.1400000000001</v>
      </c>
      <c r="N83" s="5">
        <f t="shared" si="11"/>
        <v>1464.6200000000001</v>
      </c>
    </row>
    <row r="84" spans="1:14" x14ac:dyDescent="0.3">
      <c r="A84" s="3" t="s">
        <v>82</v>
      </c>
      <c r="B84" s="5">
        <f>350</f>
        <v>350</v>
      </c>
      <c r="C84" s="5">
        <f>515.59</f>
        <v>515.59</v>
      </c>
      <c r="D84" s="5">
        <f>801.8</f>
        <v>801.8</v>
      </c>
      <c r="E84" s="5">
        <f>413.77</f>
        <v>413.77</v>
      </c>
      <c r="F84" s="4"/>
      <c r="G84" s="4"/>
      <c r="H84" s="5">
        <f>914.34</f>
        <v>914.34</v>
      </c>
      <c r="I84" s="5">
        <f>1051.12</f>
        <v>1051.1199999999999</v>
      </c>
      <c r="J84" s="4"/>
      <c r="K84" s="5">
        <f>777.99</f>
        <v>777.99</v>
      </c>
      <c r="L84" s="5">
        <f>79</f>
        <v>79</v>
      </c>
      <c r="M84" s="5">
        <f>277</f>
        <v>277</v>
      </c>
      <c r="N84" s="5">
        <f t="shared" si="11"/>
        <v>5180.6099999999997</v>
      </c>
    </row>
    <row r="85" spans="1:14" x14ac:dyDescent="0.3">
      <c r="A85" s="3" t="s">
        <v>83</v>
      </c>
      <c r="B85" s="5">
        <f>250</f>
        <v>250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5">
        <f t="shared" si="11"/>
        <v>250</v>
      </c>
    </row>
    <row r="86" spans="1:14" x14ac:dyDescent="0.3">
      <c r="A86" s="3" t="s">
        <v>84</v>
      </c>
      <c r="B86" s="5">
        <f>50</f>
        <v>50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5">
        <f t="shared" si="11"/>
        <v>50</v>
      </c>
    </row>
    <row r="87" spans="1:14" x14ac:dyDescent="0.3">
      <c r="A87" s="3" t="s">
        <v>85</v>
      </c>
      <c r="B87" s="4"/>
      <c r="C87" s="4"/>
      <c r="D87" s="4"/>
      <c r="E87" s="4"/>
      <c r="F87" s="4"/>
      <c r="G87" s="4"/>
      <c r="H87" s="4"/>
      <c r="I87" s="4"/>
      <c r="J87" s="4"/>
      <c r="K87" s="5">
        <f>515</f>
        <v>515</v>
      </c>
      <c r="L87" s="4"/>
      <c r="M87" s="4"/>
      <c r="N87" s="5">
        <f t="shared" si="11"/>
        <v>515</v>
      </c>
    </row>
    <row r="88" spans="1:14" x14ac:dyDescent="0.3">
      <c r="A88" s="3" t="s">
        <v>86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5">
        <f t="shared" si="11"/>
        <v>0</v>
      </c>
    </row>
    <row r="89" spans="1:14" x14ac:dyDescent="0.3">
      <c r="A89" s="3" t="s">
        <v>87</v>
      </c>
      <c r="B89" s="4"/>
      <c r="C89" s="4"/>
      <c r="D89" s="4"/>
      <c r="E89" s="4"/>
      <c r="F89" s="4"/>
      <c r="G89" s="4"/>
      <c r="H89" s="4"/>
      <c r="I89" s="4"/>
      <c r="J89" s="4"/>
      <c r="K89" s="5">
        <f>9.65</f>
        <v>9.65</v>
      </c>
      <c r="L89" s="4"/>
      <c r="M89" s="4"/>
      <c r="N89" s="5">
        <f t="shared" si="11"/>
        <v>9.65</v>
      </c>
    </row>
    <row r="90" spans="1:14" s="13" customFormat="1" ht="15" thickBot="1" x14ac:dyDescent="0.35">
      <c r="A90" s="10" t="s">
        <v>88</v>
      </c>
      <c r="B90" s="11">
        <f>SUM(B71:B89)</f>
        <v>3405.17</v>
      </c>
      <c r="C90" s="11">
        <f>SUM(C71:C89)</f>
        <v>4803.2800000000007</v>
      </c>
      <c r="D90" s="11">
        <f>SUM(D71:D89)</f>
        <v>6921.54</v>
      </c>
      <c r="E90" s="11">
        <f>SUM(E71:E89)</f>
        <v>10898.28</v>
      </c>
      <c r="F90" s="11">
        <f>SUM(F71:F89)</f>
        <v>6475.75</v>
      </c>
      <c r="G90" s="11">
        <f>SUM(G71:G89)</f>
        <v>5969.88</v>
      </c>
      <c r="H90" s="11">
        <f>SUM(H71:H89)</f>
        <v>7107.1</v>
      </c>
      <c r="I90" s="11">
        <f>SUM(I71:I89)</f>
        <v>5150.6400000000003</v>
      </c>
      <c r="J90" s="11">
        <f>SUM(J71:J89)</f>
        <v>4685.4000000000005</v>
      </c>
      <c r="K90" s="11">
        <f>SUM(K71:K89)</f>
        <v>8362.4699999999993</v>
      </c>
      <c r="L90" s="11">
        <f>SUM(L71:L89)</f>
        <v>4815.13</v>
      </c>
      <c r="M90" s="11">
        <f>SUM(M71:M89)</f>
        <v>6276.26</v>
      </c>
      <c r="N90" s="12">
        <f t="shared" si="11"/>
        <v>74870.899999999994</v>
      </c>
    </row>
    <row r="91" spans="1:14" ht="14.4" thickTop="1" x14ac:dyDescent="0.3">
      <c r="A91" s="3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 x14ac:dyDescent="0.3">
      <c r="A92" s="3" t="s">
        <v>89</v>
      </c>
      <c r="B92" s="5">
        <f>719.82</f>
        <v>719.82</v>
      </c>
      <c r="C92" s="5">
        <f>315.5</f>
        <v>315.5</v>
      </c>
      <c r="D92" s="5">
        <f>328.09</f>
        <v>328.09</v>
      </c>
      <c r="E92" s="5">
        <f>15.43</f>
        <v>15.43</v>
      </c>
      <c r="F92" s="5">
        <f>660.26</f>
        <v>660.26</v>
      </c>
      <c r="G92" s="5">
        <f>2199.44</f>
        <v>2199.44</v>
      </c>
      <c r="H92" s="5">
        <f>639.87</f>
        <v>639.87</v>
      </c>
      <c r="I92" s="5">
        <f>2248.15</f>
        <v>2248.15</v>
      </c>
      <c r="J92" s="5">
        <f>155.43</f>
        <v>155.43</v>
      </c>
      <c r="K92" s="5">
        <f>308.87</f>
        <v>308.87</v>
      </c>
      <c r="L92" s="5">
        <f>313.41</f>
        <v>313.41000000000003</v>
      </c>
      <c r="M92" s="5">
        <f>688.69</f>
        <v>688.69</v>
      </c>
      <c r="N92" s="5">
        <f t="shared" ref="N92:N102" si="12">SUM(B92:M92)</f>
        <v>8592.9599999999991</v>
      </c>
    </row>
    <row r="93" spans="1:14" x14ac:dyDescent="0.3">
      <c r="A93" s="3" t="s">
        <v>90</v>
      </c>
      <c r="B93" s="4"/>
      <c r="C93" s="4"/>
      <c r="D93" s="4"/>
      <c r="E93" s="4"/>
      <c r="F93" s="4"/>
      <c r="G93" s="4"/>
      <c r="H93" s="4"/>
      <c r="I93" s="4"/>
      <c r="J93" s="4"/>
      <c r="K93" s="5">
        <f>21.08</f>
        <v>21.08</v>
      </c>
      <c r="L93" s="5">
        <f>42.16</f>
        <v>42.16</v>
      </c>
      <c r="M93" s="5">
        <f>21.08</f>
        <v>21.08</v>
      </c>
      <c r="N93" s="5">
        <f t="shared" si="12"/>
        <v>84.32</v>
      </c>
    </row>
    <row r="94" spans="1:14" x14ac:dyDescent="0.3">
      <c r="A94" s="3" t="s">
        <v>91</v>
      </c>
      <c r="B94" s="4"/>
      <c r="C94" s="4"/>
      <c r="D94" s="4"/>
      <c r="E94" s="5">
        <f>200</f>
        <v>200</v>
      </c>
      <c r="F94" s="5">
        <f>200</f>
        <v>200</v>
      </c>
      <c r="G94" s="5">
        <f>200</f>
        <v>200</v>
      </c>
      <c r="H94" s="5">
        <f>200</f>
        <v>200</v>
      </c>
      <c r="I94" s="5">
        <f>200</f>
        <v>200</v>
      </c>
      <c r="J94" s="5">
        <f>200</f>
        <v>200</v>
      </c>
      <c r="K94" s="4"/>
      <c r="L94" s="4"/>
      <c r="M94" s="4"/>
      <c r="N94" s="5">
        <f t="shared" si="12"/>
        <v>1200</v>
      </c>
    </row>
    <row r="95" spans="1:14" x14ac:dyDescent="0.3">
      <c r="A95" s="3"/>
      <c r="B95" s="4"/>
      <c r="C95" s="4"/>
      <c r="D95" s="4"/>
      <c r="E95" s="5"/>
      <c r="F95" s="5"/>
      <c r="G95" s="5"/>
      <c r="H95" s="5"/>
      <c r="I95" s="5"/>
      <c r="J95" s="5"/>
      <c r="K95" s="4"/>
      <c r="L95" s="4"/>
      <c r="M95" s="4"/>
      <c r="N95" s="5">
        <f t="shared" si="12"/>
        <v>0</v>
      </c>
    </row>
    <row r="96" spans="1:14" x14ac:dyDescent="0.3">
      <c r="A96" s="3" t="s">
        <v>92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>
        <f t="shared" si="12"/>
        <v>0</v>
      </c>
    </row>
    <row r="97" spans="1:14" x14ac:dyDescent="0.3">
      <c r="A97" s="3" t="s">
        <v>93</v>
      </c>
      <c r="B97" s="5">
        <f>26.09</f>
        <v>26.09</v>
      </c>
      <c r="C97" s="5">
        <f>416.23</f>
        <v>416.23</v>
      </c>
      <c r="D97" s="5">
        <f>896.89</f>
        <v>896.89</v>
      </c>
      <c r="E97" s="5">
        <f>412.86</f>
        <v>412.86</v>
      </c>
      <c r="F97" s="5">
        <f>628.14</f>
        <v>628.14</v>
      </c>
      <c r="G97" s="5">
        <f>195.92</f>
        <v>195.92</v>
      </c>
      <c r="H97" s="5">
        <f>61.18</f>
        <v>61.18</v>
      </c>
      <c r="I97" s="5">
        <f>371.26</f>
        <v>371.26</v>
      </c>
      <c r="J97" s="5">
        <f>283.39</f>
        <v>283.39</v>
      </c>
      <c r="K97" s="5">
        <f>314.27</f>
        <v>314.27</v>
      </c>
      <c r="L97" s="5">
        <f>58.86</f>
        <v>58.86</v>
      </c>
      <c r="M97" s="5">
        <f>988.73</f>
        <v>988.73</v>
      </c>
      <c r="N97" s="5">
        <f t="shared" si="12"/>
        <v>4653.82</v>
      </c>
    </row>
    <row r="98" spans="1:14" x14ac:dyDescent="0.3">
      <c r="A98" s="3" t="s">
        <v>94</v>
      </c>
      <c r="B98" s="5">
        <f>177.95</f>
        <v>177.95</v>
      </c>
      <c r="C98" s="5">
        <f>258.15</f>
        <v>258.14999999999998</v>
      </c>
      <c r="D98" s="5">
        <f>387.87</f>
        <v>387.87</v>
      </c>
      <c r="E98" s="5">
        <f>335.29</f>
        <v>335.29</v>
      </c>
      <c r="F98" s="5">
        <f>1540.98</f>
        <v>1540.98</v>
      </c>
      <c r="G98" s="5">
        <f>936.42</f>
        <v>936.42</v>
      </c>
      <c r="H98" s="5">
        <f>719.02</f>
        <v>719.02</v>
      </c>
      <c r="I98" s="5">
        <f>840.94</f>
        <v>840.94</v>
      </c>
      <c r="J98" s="5">
        <f>557.98</f>
        <v>557.98</v>
      </c>
      <c r="K98" s="4"/>
      <c r="L98" s="5">
        <f>296.49</f>
        <v>296.49</v>
      </c>
      <c r="M98" s="5">
        <f>154.97</f>
        <v>154.97</v>
      </c>
      <c r="N98" s="5">
        <f t="shared" si="12"/>
        <v>6206.06</v>
      </c>
    </row>
    <row r="99" spans="1:14" x14ac:dyDescent="0.3">
      <c r="A99" s="3" t="s">
        <v>95</v>
      </c>
      <c r="B99" s="4"/>
      <c r="C99" s="4"/>
      <c r="D99" s="4"/>
      <c r="E99" s="4"/>
      <c r="F99" s="4"/>
      <c r="G99" s="4"/>
      <c r="H99" s="5">
        <f>172.41</f>
        <v>172.41</v>
      </c>
      <c r="I99" s="5">
        <f>90.77</f>
        <v>90.77</v>
      </c>
      <c r="J99" s="5">
        <f>193.39</f>
        <v>193.39</v>
      </c>
      <c r="K99" s="5">
        <f>422.47</f>
        <v>422.47</v>
      </c>
      <c r="L99" s="5">
        <f>55</f>
        <v>55</v>
      </c>
      <c r="M99" s="5">
        <f>163.13</f>
        <v>163.13</v>
      </c>
      <c r="N99" s="5">
        <f t="shared" si="12"/>
        <v>1097.17</v>
      </c>
    </row>
    <row r="100" spans="1:14" x14ac:dyDescent="0.3">
      <c r="A100" s="3" t="s">
        <v>96</v>
      </c>
      <c r="B100" s="5">
        <f>1482.5</f>
        <v>1482.5</v>
      </c>
      <c r="C100" s="4"/>
      <c r="D100" s="5">
        <f>771</f>
        <v>771</v>
      </c>
      <c r="E100" s="5">
        <f>552.5</f>
        <v>552.5</v>
      </c>
      <c r="F100" s="4"/>
      <c r="G100" s="4"/>
      <c r="H100" s="4"/>
      <c r="I100" s="4"/>
      <c r="J100" s="4"/>
      <c r="K100" s="4"/>
      <c r="L100" s="4"/>
      <c r="M100" s="4"/>
      <c r="N100" s="5">
        <f t="shared" si="12"/>
        <v>2806</v>
      </c>
    </row>
    <row r="101" spans="1:14" x14ac:dyDescent="0.3">
      <c r="A101" s="3" t="s">
        <v>97</v>
      </c>
      <c r="B101" s="5">
        <f>339.44</f>
        <v>339.44</v>
      </c>
      <c r="C101" s="5">
        <f>371.06</f>
        <v>371.06</v>
      </c>
      <c r="D101" s="5">
        <f>616.94</f>
        <v>616.94000000000005</v>
      </c>
      <c r="E101" s="5">
        <f>560.43</f>
        <v>560.42999999999995</v>
      </c>
      <c r="F101" s="5">
        <f>631.63</f>
        <v>631.63</v>
      </c>
      <c r="G101" s="5">
        <f>731.75</f>
        <v>731.75</v>
      </c>
      <c r="H101" s="5">
        <f>1270.54</f>
        <v>1270.54</v>
      </c>
      <c r="I101" s="5">
        <f>263.08</f>
        <v>263.08</v>
      </c>
      <c r="J101" s="5">
        <f>230.16</f>
        <v>230.16</v>
      </c>
      <c r="K101" s="5">
        <f>261.5</f>
        <v>261.5</v>
      </c>
      <c r="L101" s="5">
        <f>195.34</f>
        <v>195.34</v>
      </c>
      <c r="M101" s="5">
        <f>129.51</f>
        <v>129.51</v>
      </c>
      <c r="N101" s="5">
        <f t="shared" si="12"/>
        <v>5601.38</v>
      </c>
    </row>
    <row r="102" spans="1:14" s="13" customFormat="1" ht="15" thickBot="1" x14ac:dyDescent="0.35">
      <c r="A102" s="10" t="s">
        <v>98</v>
      </c>
      <c r="B102" s="11">
        <f t="shared" ref="B102:M102" si="13">SUM(B92:B101)</f>
        <v>2745.8</v>
      </c>
      <c r="C102" s="11">
        <f t="shared" si="13"/>
        <v>1360.94</v>
      </c>
      <c r="D102" s="11">
        <f t="shared" si="13"/>
        <v>3000.79</v>
      </c>
      <c r="E102" s="11">
        <f t="shared" si="13"/>
        <v>2076.5099999999998</v>
      </c>
      <c r="F102" s="11">
        <f t="shared" si="13"/>
        <v>3661.01</v>
      </c>
      <c r="G102" s="11">
        <f t="shared" si="13"/>
        <v>4263.5300000000007</v>
      </c>
      <c r="H102" s="11">
        <f t="shared" si="13"/>
        <v>3063.02</v>
      </c>
      <c r="I102" s="11">
        <f t="shared" si="13"/>
        <v>4014.2</v>
      </c>
      <c r="J102" s="11">
        <f t="shared" si="13"/>
        <v>1620.3500000000001</v>
      </c>
      <c r="K102" s="11">
        <f t="shared" si="13"/>
        <v>1328.19</v>
      </c>
      <c r="L102" s="11">
        <f t="shared" si="13"/>
        <v>961.2600000000001</v>
      </c>
      <c r="M102" s="11">
        <f t="shared" si="13"/>
        <v>2146.1099999999997</v>
      </c>
      <c r="N102" s="12">
        <f t="shared" si="12"/>
        <v>30241.71</v>
      </c>
    </row>
    <row r="103" spans="1:14" ht="14.4" thickTop="1" x14ac:dyDescent="0.3">
      <c r="A103" s="3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3">
      <c r="A104" s="3" t="s">
        <v>99</v>
      </c>
      <c r="B104" s="6">
        <f>B102+B90+B69+B60+B50+B37</f>
        <v>11757.04</v>
      </c>
      <c r="C104" s="6">
        <f>C102+C90+C69+C60+C50+C37</f>
        <v>8339.09</v>
      </c>
      <c r="D104" s="6">
        <f>D102+D90+D69+D60+D50+D37</f>
        <v>10863.59</v>
      </c>
      <c r="E104" s="6">
        <f>E102+E90+E69+E60+E50+E37</f>
        <v>25766.86</v>
      </c>
      <c r="F104" s="6">
        <f>F102+F90+F69+F60+F50+F37</f>
        <v>19269.440000000002</v>
      </c>
      <c r="G104" s="6">
        <f>G102+G90+G69+G60+G50+G37</f>
        <v>17921.66</v>
      </c>
      <c r="H104" s="6">
        <f>H102+H90+H69+H60+H50+H37</f>
        <v>21694.91</v>
      </c>
      <c r="I104" s="6">
        <f>I102+I90+I69+I60+I50+I37</f>
        <v>17969.7</v>
      </c>
      <c r="J104" s="6">
        <f>J102+J90+J69+J60+J50+J37</f>
        <v>21718.920000000002</v>
      </c>
      <c r="K104" s="6">
        <f>K102+K90+K69+K60+K50+K37</f>
        <v>23746.600000000002</v>
      </c>
      <c r="L104" s="6">
        <f>L102+L90+L69+L60+L50+L37</f>
        <v>17666.190000000002</v>
      </c>
      <c r="M104" s="6">
        <f>M102+M90+M69+M60+M50+M37</f>
        <v>18434.449999999997</v>
      </c>
      <c r="N104" s="6">
        <f>N102+N90+N69+N60+N50+N37</f>
        <v>215148.44999999998</v>
      </c>
    </row>
    <row r="105" spans="1:14" x14ac:dyDescent="0.3">
      <c r="A105" s="3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1:14" x14ac:dyDescent="0.3">
      <c r="A106" s="3" t="s">
        <v>100</v>
      </c>
      <c r="B106" s="6">
        <f>B29-B104</f>
        <v>17453.57</v>
      </c>
      <c r="C106" s="6">
        <f>C29-C104</f>
        <v>9964.77</v>
      </c>
      <c r="D106" s="6">
        <f>D29-D104</f>
        <v>4795.34</v>
      </c>
      <c r="E106" s="20">
        <f>E29-E104</f>
        <v>-9434.07</v>
      </c>
      <c r="F106" s="6">
        <f>F29-F104</f>
        <v>23604.949999999997</v>
      </c>
      <c r="G106" s="6">
        <f>G29-G104</f>
        <v>4159.0200000000004</v>
      </c>
      <c r="H106" s="6">
        <f>H29-H104</f>
        <v>2529.0499999999993</v>
      </c>
      <c r="I106" s="6">
        <f>I29-I104</f>
        <v>10534.369999999999</v>
      </c>
      <c r="J106" s="6">
        <f>J29-J104</f>
        <v>8218.4499999999971</v>
      </c>
      <c r="K106" s="6">
        <f>K29-K104</f>
        <v>4921.0199999999968</v>
      </c>
      <c r="L106" s="6">
        <f>L29-L104</f>
        <v>14882.189999999999</v>
      </c>
      <c r="M106" s="6">
        <f>M29-M104</f>
        <v>12851.29</v>
      </c>
      <c r="N106" s="6">
        <f>N29-N104</f>
        <v>104479.95000000004</v>
      </c>
    </row>
    <row r="107" spans="1:14" x14ac:dyDescent="0.3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10" spans="1:14" x14ac:dyDescent="0.3">
      <c r="A110" s="18" t="s">
        <v>101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</row>
  </sheetData>
  <mergeCells count="1">
    <mergeCell ref="A110:N11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Keiten Nuspl</cp:lastModifiedBy>
  <dcterms:created xsi:type="dcterms:W3CDTF">2023-10-18T04:39:13Z</dcterms:created>
  <dcterms:modified xsi:type="dcterms:W3CDTF">2023-11-07T21:09:11Z</dcterms:modified>
</cp:coreProperties>
</file>